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da\Desktop\Antybiotykooprnosc projekt ncn\Dataset_project repozytorium\"/>
    </mc:Choice>
  </mc:AlternateContent>
  <xr:revisionPtr revIDLastSave="0" documentId="8_{FA484200-0927-43C3-A706-56CE9192388F}" xr6:coauthVersionLast="47" xr6:coauthVersionMax="47" xr10:uidLastSave="{00000000-0000-0000-0000-000000000000}"/>
  <bookViews>
    <workbookView xWindow="-108" yWindow="-108" windowWidth="23256" windowHeight="12576" firstSheet="1" activeTab="6" xr2:uid="{44A383D3-7B8C-4C63-88EF-21767D71B506}"/>
  </bookViews>
  <sheets>
    <sheet name="zbiorcze wszytskie" sheetId="1" r:id="rId1"/>
    <sheet name="dataset-metals" sheetId="2" r:id="rId2"/>
    <sheet name="MEC i PEC" sheetId="3" r:id="rId3"/>
    <sheet name="RQ antibiotics" sheetId="5" r:id="rId4"/>
    <sheet name="RQ mix" sheetId="7" r:id="rId5"/>
    <sheet name="RQ metals" sheetId="6" r:id="rId6"/>
    <sheet name="PEC i RQenv" sheetId="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7" i="7" l="1"/>
  <c r="S108" i="7"/>
  <c r="S109" i="7"/>
  <c r="R107" i="7"/>
  <c r="R108" i="7"/>
  <c r="R109" i="7"/>
  <c r="Q107" i="7"/>
  <c r="Q108" i="7"/>
  <c r="Q109" i="7"/>
  <c r="P107" i="7"/>
  <c r="P108" i="7"/>
  <c r="P109" i="7"/>
  <c r="O107" i="7"/>
  <c r="O108" i="7"/>
  <c r="O109" i="7"/>
  <c r="S106" i="7"/>
  <c r="R106" i="7"/>
  <c r="Q106" i="7"/>
  <c r="P106" i="7"/>
  <c r="O106" i="7"/>
  <c r="N107" i="7"/>
  <c r="N108" i="7"/>
  <c r="N109" i="7"/>
  <c r="N106" i="7"/>
  <c r="J107" i="7"/>
  <c r="J108" i="7"/>
  <c r="J109" i="7"/>
  <c r="I107" i="7"/>
  <c r="I108" i="7"/>
  <c r="I109" i="7"/>
  <c r="H107" i="7"/>
  <c r="H108" i="7"/>
  <c r="H109" i="7"/>
  <c r="G107" i="7"/>
  <c r="G108" i="7"/>
  <c r="G109" i="7"/>
  <c r="F107" i="7"/>
  <c r="F108" i="7"/>
  <c r="F109" i="7"/>
  <c r="J106" i="7"/>
  <c r="I106" i="7"/>
  <c r="H106" i="7"/>
  <c r="G106" i="7"/>
  <c r="F106" i="7"/>
  <c r="E107" i="7"/>
  <c r="E108" i="7"/>
  <c r="E109" i="7"/>
  <c r="E106" i="7"/>
  <c r="AB78" i="7"/>
  <c r="AB79" i="7"/>
  <c r="AB80" i="7"/>
  <c r="AB77" i="7"/>
  <c r="AA78" i="7"/>
  <c r="AA79" i="7"/>
  <c r="AA80" i="7"/>
  <c r="AA77" i="7"/>
  <c r="Z78" i="7"/>
  <c r="Z79" i="7"/>
  <c r="Z80" i="7"/>
  <c r="Z77" i="7"/>
  <c r="Y78" i="7"/>
  <c r="Y79" i="7"/>
  <c r="Y80" i="7"/>
  <c r="Y77" i="7"/>
  <c r="X78" i="7"/>
  <c r="X79" i="7"/>
  <c r="X80" i="7"/>
  <c r="X77" i="7"/>
  <c r="W78" i="7"/>
  <c r="W79" i="7"/>
  <c r="W80" i="7"/>
  <c r="W77" i="7"/>
  <c r="V78" i="7"/>
  <c r="V79" i="7"/>
  <c r="V80" i="7"/>
  <c r="V77" i="7"/>
  <c r="S78" i="7"/>
  <c r="S79" i="7"/>
  <c r="S80" i="7"/>
  <c r="S77" i="7"/>
  <c r="R78" i="7"/>
  <c r="R79" i="7"/>
  <c r="R80" i="7"/>
  <c r="R77" i="7"/>
  <c r="Q78" i="7"/>
  <c r="Q79" i="7"/>
  <c r="Q80" i="7"/>
  <c r="Q77" i="7"/>
  <c r="P78" i="7"/>
  <c r="P79" i="7"/>
  <c r="P80" i="7"/>
  <c r="P77" i="7"/>
  <c r="O78" i="7"/>
  <c r="O79" i="7"/>
  <c r="O80" i="7"/>
  <c r="O77" i="7"/>
  <c r="N78" i="7"/>
  <c r="N79" i="7"/>
  <c r="N80" i="7"/>
  <c r="N77" i="7"/>
  <c r="M78" i="7"/>
  <c r="M79" i="7"/>
  <c r="M80" i="7"/>
  <c r="M77" i="7"/>
  <c r="T72" i="7"/>
  <c r="T73" i="7"/>
  <c r="T74" i="7"/>
  <c r="T71" i="7"/>
  <c r="U81" i="5"/>
  <c r="U80" i="5"/>
  <c r="K67" i="6"/>
  <c r="K66" i="6"/>
  <c r="L63" i="6"/>
  <c r="M63" i="6"/>
  <c r="N63" i="6"/>
  <c r="O63" i="6"/>
  <c r="P63" i="6"/>
  <c r="K63" i="6"/>
  <c r="L62" i="6"/>
  <c r="M62" i="6"/>
  <c r="N62" i="6"/>
  <c r="O62" i="6"/>
  <c r="P62" i="6"/>
  <c r="K62" i="6"/>
  <c r="Y35" i="6"/>
  <c r="Y36" i="6"/>
  <c r="Y37" i="6"/>
  <c r="Y38" i="6"/>
  <c r="Y39" i="6"/>
  <c r="Y41" i="6"/>
  <c r="Y42" i="6"/>
  <c r="Y43" i="6"/>
  <c r="Y44" i="6"/>
  <c r="Y45" i="6"/>
  <c r="Y46" i="6"/>
  <c r="Y48" i="6"/>
  <c r="Y49" i="6"/>
  <c r="Y50" i="6"/>
  <c r="Y51" i="6"/>
  <c r="Y52" i="6"/>
  <c r="Y53" i="6"/>
  <c r="Y55" i="6"/>
  <c r="Y56" i="6"/>
  <c r="Y57" i="6"/>
  <c r="Y58" i="6"/>
  <c r="Y59" i="6"/>
  <c r="Y60" i="6"/>
  <c r="X35" i="6"/>
  <c r="X36" i="6"/>
  <c r="X37" i="6"/>
  <c r="X38" i="6"/>
  <c r="X39" i="6"/>
  <c r="X41" i="6"/>
  <c r="X42" i="6"/>
  <c r="X43" i="6"/>
  <c r="X44" i="6"/>
  <c r="X45" i="6"/>
  <c r="X46" i="6"/>
  <c r="X48" i="6"/>
  <c r="X49" i="6"/>
  <c r="X50" i="6"/>
  <c r="X51" i="6"/>
  <c r="X52" i="6"/>
  <c r="X53" i="6"/>
  <c r="X55" i="6"/>
  <c r="X56" i="6"/>
  <c r="X57" i="6"/>
  <c r="X58" i="6"/>
  <c r="X59" i="6"/>
  <c r="X60" i="6"/>
  <c r="W35" i="6"/>
  <c r="W36" i="6"/>
  <c r="W37" i="6"/>
  <c r="W38" i="6"/>
  <c r="W39" i="6"/>
  <c r="W41" i="6"/>
  <c r="W42" i="6"/>
  <c r="W43" i="6"/>
  <c r="W44" i="6"/>
  <c r="W45" i="6"/>
  <c r="W46" i="6"/>
  <c r="W48" i="6"/>
  <c r="W49" i="6"/>
  <c r="W50" i="6"/>
  <c r="W51" i="6"/>
  <c r="W52" i="6"/>
  <c r="W53" i="6"/>
  <c r="W55" i="6"/>
  <c r="W56" i="6"/>
  <c r="W57" i="6"/>
  <c r="W58" i="6"/>
  <c r="W59" i="6"/>
  <c r="W60" i="6"/>
  <c r="V35" i="6"/>
  <c r="V36" i="6"/>
  <c r="V37" i="6"/>
  <c r="V38" i="6"/>
  <c r="V39" i="6"/>
  <c r="V41" i="6"/>
  <c r="V42" i="6"/>
  <c r="V43" i="6"/>
  <c r="V44" i="6"/>
  <c r="V45" i="6"/>
  <c r="V46" i="6"/>
  <c r="V48" i="6"/>
  <c r="V49" i="6"/>
  <c r="V50" i="6"/>
  <c r="V51" i="6"/>
  <c r="V52" i="6"/>
  <c r="V53" i="6"/>
  <c r="V55" i="6"/>
  <c r="V56" i="6"/>
  <c r="V57" i="6"/>
  <c r="V58" i="6"/>
  <c r="V59" i="6"/>
  <c r="V60" i="6"/>
  <c r="U35" i="6"/>
  <c r="U36" i="6"/>
  <c r="U37" i="6"/>
  <c r="U38" i="6"/>
  <c r="U39" i="6"/>
  <c r="U41" i="6"/>
  <c r="U42" i="6"/>
  <c r="U43" i="6"/>
  <c r="U44" i="6"/>
  <c r="U45" i="6"/>
  <c r="U46" i="6"/>
  <c r="U48" i="6"/>
  <c r="U49" i="6"/>
  <c r="U50" i="6"/>
  <c r="U51" i="6"/>
  <c r="U52" i="6"/>
  <c r="U53" i="6"/>
  <c r="U55" i="6"/>
  <c r="U56" i="6"/>
  <c r="U57" i="6"/>
  <c r="U58" i="6"/>
  <c r="U59" i="6"/>
  <c r="U60" i="6"/>
  <c r="U34" i="6"/>
  <c r="V34" i="6"/>
  <c r="W34" i="6"/>
  <c r="X34" i="6"/>
  <c r="Y34" i="6"/>
  <c r="T35" i="6"/>
  <c r="Z35" i="6" s="1"/>
  <c r="T36" i="6"/>
  <c r="Z36" i="6" s="1"/>
  <c r="T37" i="6"/>
  <c r="Z37" i="6" s="1"/>
  <c r="T38" i="6"/>
  <c r="Z38" i="6" s="1"/>
  <c r="T39" i="6"/>
  <c r="Z39" i="6" s="1"/>
  <c r="T41" i="6"/>
  <c r="Z41" i="6" s="1"/>
  <c r="T42" i="6"/>
  <c r="Z42" i="6" s="1"/>
  <c r="T43" i="6"/>
  <c r="Z43" i="6" s="1"/>
  <c r="T44" i="6"/>
  <c r="Z44" i="6" s="1"/>
  <c r="T45" i="6"/>
  <c r="Z45" i="6" s="1"/>
  <c r="T46" i="6"/>
  <c r="Z46" i="6" s="1"/>
  <c r="T48" i="6"/>
  <c r="Z48" i="6" s="1"/>
  <c r="T49" i="6"/>
  <c r="Z49" i="6" s="1"/>
  <c r="T50" i="6"/>
  <c r="Z50" i="6" s="1"/>
  <c r="T51" i="6"/>
  <c r="Z51" i="6" s="1"/>
  <c r="T52" i="6"/>
  <c r="Z52" i="6" s="1"/>
  <c r="T53" i="6"/>
  <c r="Z53" i="6" s="1"/>
  <c r="T55" i="6"/>
  <c r="Z55" i="6" s="1"/>
  <c r="T56" i="6"/>
  <c r="Z56" i="6" s="1"/>
  <c r="T57" i="6"/>
  <c r="Z57" i="6" s="1"/>
  <c r="T58" i="6"/>
  <c r="Z58" i="6" s="1"/>
  <c r="T59" i="6"/>
  <c r="Z59" i="6" s="1"/>
  <c r="T60" i="6"/>
  <c r="Z60" i="6" s="1"/>
  <c r="T34" i="6"/>
  <c r="Z34" i="6" s="1"/>
  <c r="P35" i="6"/>
  <c r="P36" i="6"/>
  <c r="P37" i="6"/>
  <c r="P38" i="6"/>
  <c r="P39" i="6"/>
  <c r="P41" i="6"/>
  <c r="P42" i="6"/>
  <c r="P43" i="6"/>
  <c r="P44" i="6"/>
  <c r="P45" i="6"/>
  <c r="P46" i="6"/>
  <c r="P48" i="6"/>
  <c r="P49" i="6"/>
  <c r="P50" i="6"/>
  <c r="P51" i="6"/>
  <c r="P52" i="6"/>
  <c r="P53" i="6"/>
  <c r="P55" i="6"/>
  <c r="P56" i="6"/>
  <c r="P57" i="6"/>
  <c r="P58" i="6"/>
  <c r="P59" i="6"/>
  <c r="P60" i="6"/>
  <c r="P34" i="6"/>
  <c r="O35" i="6"/>
  <c r="O36" i="6"/>
  <c r="O37" i="6"/>
  <c r="O38" i="6"/>
  <c r="O39" i="6"/>
  <c r="O41" i="6"/>
  <c r="O42" i="6"/>
  <c r="O43" i="6"/>
  <c r="O44" i="6"/>
  <c r="O45" i="6"/>
  <c r="O46" i="6"/>
  <c r="O48" i="6"/>
  <c r="O49" i="6"/>
  <c r="O50" i="6"/>
  <c r="O51" i="6"/>
  <c r="O52" i="6"/>
  <c r="O53" i="6"/>
  <c r="O55" i="6"/>
  <c r="O56" i="6"/>
  <c r="O57" i="6"/>
  <c r="O58" i="6"/>
  <c r="O59" i="6"/>
  <c r="O60" i="6"/>
  <c r="O34" i="6"/>
  <c r="N35" i="6"/>
  <c r="N36" i="6"/>
  <c r="N37" i="6"/>
  <c r="N38" i="6"/>
  <c r="N39" i="6"/>
  <c r="N41" i="6"/>
  <c r="N42" i="6"/>
  <c r="N43" i="6"/>
  <c r="N44" i="6"/>
  <c r="N45" i="6"/>
  <c r="N46" i="6"/>
  <c r="N48" i="6"/>
  <c r="N49" i="6"/>
  <c r="N50" i="6"/>
  <c r="N51" i="6"/>
  <c r="N52" i="6"/>
  <c r="N53" i="6"/>
  <c r="N55" i="6"/>
  <c r="N56" i="6"/>
  <c r="N57" i="6"/>
  <c r="N58" i="6"/>
  <c r="N59" i="6"/>
  <c r="N60" i="6"/>
  <c r="N34" i="6"/>
  <c r="M35" i="6"/>
  <c r="M36" i="6"/>
  <c r="M37" i="6"/>
  <c r="M38" i="6"/>
  <c r="M39" i="6"/>
  <c r="M41" i="6"/>
  <c r="M42" i="6"/>
  <c r="M43" i="6"/>
  <c r="M44" i="6"/>
  <c r="M45" i="6"/>
  <c r="M46" i="6"/>
  <c r="M48" i="6"/>
  <c r="M49" i="6"/>
  <c r="M50" i="6"/>
  <c r="M51" i="6"/>
  <c r="M52" i="6"/>
  <c r="M53" i="6"/>
  <c r="M55" i="6"/>
  <c r="M56" i="6"/>
  <c r="M57" i="6"/>
  <c r="M58" i="6"/>
  <c r="M59" i="6"/>
  <c r="M60" i="6"/>
  <c r="M34" i="6"/>
  <c r="L35" i="6"/>
  <c r="L36" i="6"/>
  <c r="L37" i="6"/>
  <c r="L38" i="6"/>
  <c r="L39" i="6"/>
  <c r="L41" i="6"/>
  <c r="L42" i="6"/>
  <c r="L43" i="6"/>
  <c r="L44" i="6"/>
  <c r="L45" i="6"/>
  <c r="L46" i="6"/>
  <c r="L48" i="6"/>
  <c r="L49" i="6"/>
  <c r="L50" i="6"/>
  <c r="L51" i="6"/>
  <c r="L52" i="6"/>
  <c r="L53" i="6"/>
  <c r="L55" i="6"/>
  <c r="L56" i="6"/>
  <c r="L57" i="6"/>
  <c r="L58" i="6"/>
  <c r="L59" i="6"/>
  <c r="L60" i="6"/>
  <c r="L34" i="6"/>
  <c r="K35" i="6"/>
  <c r="R35" i="6" s="1"/>
  <c r="K36" i="6"/>
  <c r="R36" i="6" s="1"/>
  <c r="K37" i="6"/>
  <c r="R37" i="6" s="1"/>
  <c r="K38" i="6"/>
  <c r="R38" i="6" s="1"/>
  <c r="K39" i="6"/>
  <c r="R39" i="6" s="1"/>
  <c r="K41" i="6"/>
  <c r="R41" i="6" s="1"/>
  <c r="K42" i="6"/>
  <c r="R42" i="6" s="1"/>
  <c r="K43" i="6"/>
  <c r="R43" i="6" s="1"/>
  <c r="K44" i="6"/>
  <c r="R44" i="6" s="1"/>
  <c r="K45" i="6"/>
  <c r="R45" i="6" s="1"/>
  <c r="K46" i="6"/>
  <c r="R46" i="6" s="1"/>
  <c r="K48" i="6"/>
  <c r="R48" i="6" s="1"/>
  <c r="K49" i="6"/>
  <c r="R49" i="6" s="1"/>
  <c r="K50" i="6"/>
  <c r="R50" i="6" s="1"/>
  <c r="K51" i="6"/>
  <c r="R51" i="6" s="1"/>
  <c r="K52" i="6"/>
  <c r="R52" i="6" s="1"/>
  <c r="K53" i="6"/>
  <c r="R53" i="6" s="1"/>
  <c r="K55" i="6"/>
  <c r="R55" i="6" s="1"/>
  <c r="K56" i="6"/>
  <c r="R56" i="6" s="1"/>
  <c r="K57" i="6"/>
  <c r="R57" i="6" s="1"/>
  <c r="K58" i="6"/>
  <c r="R58" i="6" s="1"/>
  <c r="K59" i="6"/>
  <c r="R59" i="6" s="1"/>
  <c r="K60" i="6"/>
  <c r="R60" i="6" s="1"/>
  <c r="K34" i="6"/>
  <c r="R34" i="6" s="1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34" i="6"/>
  <c r="E34" i="6"/>
  <c r="F34" i="6"/>
  <c r="G34" i="6"/>
  <c r="H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34" i="6"/>
  <c r="AJ23" i="5"/>
  <c r="AJ24" i="5"/>
  <c r="AJ25" i="5"/>
  <c r="AJ26" i="5"/>
  <c r="AJ27" i="5"/>
  <c r="AJ29" i="5"/>
  <c r="AJ30" i="5"/>
  <c r="AJ31" i="5"/>
  <c r="AJ32" i="5"/>
  <c r="AJ33" i="5"/>
  <c r="AJ34" i="5"/>
  <c r="AJ36" i="5"/>
  <c r="AJ37" i="5"/>
  <c r="AJ38" i="5"/>
  <c r="AJ39" i="5"/>
  <c r="AJ40" i="5"/>
  <c r="AJ41" i="5"/>
  <c r="AJ43" i="5"/>
  <c r="AJ44" i="5"/>
  <c r="AJ45" i="5"/>
  <c r="AJ46" i="5"/>
  <c r="AJ47" i="5"/>
  <c r="AJ48" i="5"/>
  <c r="AI23" i="5"/>
  <c r="AI24" i="5"/>
  <c r="AI25" i="5"/>
  <c r="AI26" i="5"/>
  <c r="AI27" i="5"/>
  <c r="AI29" i="5"/>
  <c r="AI30" i="5"/>
  <c r="AI31" i="5"/>
  <c r="AI32" i="5"/>
  <c r="AI33" i="5"/>
  <c r="AI34" i="5"/>
  <c r="AI36" i="5"/>
  <c r="AI37" i="5"/>
  <c r="AI38" i="5"/>
  <c r="AI39" i="5"/>
  <c r="AI40" i="5"/>
  <c r="AI41" i="5"/>
  <c r="AI43" i="5"/>
  <c r="AI44" i="5"/>
  <c r="AI45" i="5"/>
  <c r="AI46" i="5"/>
  <c r="AI47" i="5"/>
  <c r="AI48" i="5"/>
  <c r="AH23" i="5"/>
  <c r="AH24" i="5"/>
  <c r="AH25" i="5"/>
  <c r="AH26" i="5"/>
  <c r="AH27" i="5"/>
  <c r="AH29" i="5"/>
  <c r="AH30" i="5"/>
  <c r="AH31" i="5"/>
  <c r="AH32" i="5"/>
  <c r="AH33" i="5"/>
  <c r="AH34" i="5"/>
  <c r="AH36" i="5"/>
  <c r="AH37" i="5"/>
  <c r="AH38" i="5"/>
  <c r="AH39" i="5"/>
  <c r="AH40" i="5"/>
  <c r="AH41" i="5"/>
  <c r="AH43" i="5"/>
  <c r="AH44" i="5"/>
  <c r="AH45" i="5"/>
  <c r="AH46" i="5"/>
  <c r="AH47" i="5"/>
  <c r="AH48" i="5"/>
  <c r="AG23" i="5"/>
  <c r="AG24" i="5"/>
  <c r="AG25" i="5"/>
  <c r="AG26" i="5"/>
  <c r="AG27" i="5"/>
  <c r="AG29" i="5"/>
  <c r="AG30" i="5"/>
  <c r="AG31" i="5"/>
  <c r="AG32" i="5"/>
  <c r="AG33" i="5"/>
  <c r="AG34" i="5"/>
  <c r="AG36" i="5"/>
  <c r="AG37" i="5"/>
  <c r="AG38" i="5"/>
  <c r="AG39" i="5"/>
  <c r="AG40" i="5"/>
  <c r="AG41" i="5"/>
  <c r="AG43" i="5"/>
  <c r="AG44" i="5"/>
  <c r="AG45" i="5"/>
  <c r="AG46" i="5"/>
  <c r="AG47" i="5"/>
  <c r="AG48" i="5"/>
  <c r="AF23" i="5"/>
  <c r="AF24" i="5"/>
  <c r="AF25" i="5"/>
  <c r="AF26" i="5"/>
  <c r="AF27" i="5"/>
  <c r="AF29" i="5"/>
  <c r="AF30" i="5"/>
  <c r="AF31" i="5"/>
  <c r="AF32" i="5"/>
  <c r="AF33" i="5"/>
  <c r="AF34" i="5"/>
  <c r="AF36" i="5"/>
  <c r="AF37" i="5"/>
  <c r="AF38" i="5"/>
  <c r="AF39" i="5"/>
  <c r="AF40" i="5"/>
  <c r="AF41" i="5"/>
  <c r="AF43" i="5"/>
  <c r="AF44" i="5"/>
  <c r="AF45" i="5"/>
  <c r="AF46" i="5"/>
  <c r="AF47" i="5"/>
  <c r="AF48" i="5"/>
  <c r="AE23" i="5"/>
  <c r="AE24" i="5"/>
  <c r="AE25" i="5"/>
  <c r="AE26" i="5"/>
  <c r="AE27" i="5"/>
  <c r="AE29" i="5"/>
  <c r="AE30" i="5"/>
  <c r="AE31" i="5"/>
  <c r="AE32" i="5"/>
  <c r="AE33" i="5"/>
  <c r="AE34" i="5"/>
  <c r="AE36" i="5"/>
  <c r="AE37" i="5"/>
  <c r="AE38" i="5"/>
  <c r="AE39" i="5"/>
  <c r="AE40" i="5"/>
  <c r="AE41" i="5"/>
  <c r="AE43" i="5"/>
  <c r="AE44" i="5"/>
  <c r="AE45" i="5"/>
  <c r="AE46" i="5"/>
  <c r="AE47" i="5"/>
  <c r="AE48" i="5"/>
  <c r="AE22" i="5"/>
  <c r="AF22" i="5"/>
  <c r="AG22" i="5"/>
  <c r="AH22" i="5"/>
  <c r="AI22" i="5"/>
  <c r="AJ22" i="5"/>
  <c r="AD23" i="5"/>
  <c r="AD24" i="5"/>
  <c r="AD25" i="5"/>
  <c r="AD26" i="5"/>
  <c r="AD27" i="5"/>
  <c r="AD29" i="5"/>
  <c r="AD30" i="5"/>
  <c r="AD31" i="5"/>
  <c r="AD32" i="5"/>
  <c r="AD33" i="5"/>
  <c r="AD34" i="5"/>
  <c r="AD36" i="5"/>
  <c r="AD37" i="5"/>
  <c r="AD38" i="5"/>
  <c r="AD39" i="5"/>
  <c r="AD40" i="5"/>
  <c r="AD41" i="5"/>
  <c r="AD43" i="5"/>
  <c r="AD44" i="5"/>
  <c r="AD45" i="5"/>
  <c r="AD46" i="5"/>
  <c r="AD47" i="5"/>
  <c r="AD48" i="5"/>
  <c r="AD22" i="5"/>
  <c r="AD53" i="5"/>
  <c r="AD54" i="5"/>
  <c r="AD55" i="5"/>
  <c r="AD56" i="5"/>
  <c r="AD57" i="5"/>
  <c r="AD59" i="5"/>
  <c r="AD60" i="5"/>
  <c r="AD61" i="5"/>
  <c r="AD62" i="5"/>
  <c r="AD63" i="5"/>
  <c r="AD64" i="5"/>
  <c r="AD66" i="5"/>
  <c r="AD67" i="5"/>
  <c r="AD68" i="5"/>
  <c r="AD69" i="5"/>
  <c r="AD70" i="5"/>
  <c r="AD71" i="5"/>
  <c r="AD73" i="5"/>
  <c r="AD74" i="5"/>
  <c r="AD75" i="5"/>
  <c r="AD76" i="5"/>
  <c r="AD77" i="5"/>
  <c r="AD78" i="5"/>
  <c r="AD52" i="5"/>
  <c r="AC53" i="5"/>
  <c r="AC54" i="5"/>
  <c r="AC55" i="5"/>
  <c r="AC56" i="5"/>
  <c r="AC57" i="5"/>
  <c r="AC59" i="5"/>
  <c r="AC60" i="5"/>
  <c r="AC61" i="5"/>
  <c r="AC62" i="5"/>
  <c r="AC63" i="5"/>
  <c r="AC64" i="5"/>
  <c r="AC66" i="5"/>
  <c r="AC67" i="5"/>
  <c r="AC68" i="5"/>
  <c r="AC69" i="5"/>
  <c r="AC70" i="5"/>
  <c r="AC71" i="5"/>
  <c r="AC73" i="5"/>
  <c r="AC74" i="5"/>
  <c r="AC75" i="5"/>
  <c r="AC76" i="5"/>
  <c r="AC77" i="5"/>
  <c r="AC78" i="5"/>
  <c r="AB53" i="5"/>
  <c r="AB54" i="5"/>
  <c r="AB55" i="5"/>
  <c r="AB56" i="5"/>
  <c r="AB57" i="5"/>
  <c r="AB59" i="5"/>
  <c r="AB60" i="5"/>
  <c r="AB61" i="5"/>
  <c r="AB62" i="5"/>
  <c r="AB63" i="5"/>
  <c r="AB64" i="5"/>
  <c r="AB66" i="5"/>
  <c r="AB67" i="5"/>
  <c r="AB68" i="5"/>
  <c r="AB69" i="5"/>
  <c r="AB70" i="5"/>
  <c r="AB71" i="5"/>
  <c r="AB73" i="5"/>
  <c r="AB74" i="5"/>
  <c r="AB75" i="5"/>
  <c r="AB76" i="5"/>
  <c r="AB77" i="5"/>
  <c r="AB78" i="5"/>
  <c r="AA53" i="5"/>
  <c r="AA54" i="5"/>
  <c r="AA55" i="5"/>
  <c r="AA56" i="5"/>
  <c r="AA57" i="5"/>
  <c r="AA59" i="5"/>
  <c r="AA60" i="5"/>
  <c r="AA61" i="5"/>
  <c r="AA62" i="5"/>
  <c r="AA63" i="5"/>
  <c r="AA64" i="5"/>
  <c r="AA66" i="5"/>
  <c r="AA67" i="5"/>
  <c r="AA68" i="5"/>
  <c r="AA69" i="5"/>
  <c r="AA70" i="5"/>
  <c r="AA71" i="5"/>
  <c r="AA73" i="5"/>
  <c r="AA74" i="5"/>
  <c r="AA75" i="5"/>
  <c r="AA76" i="5"/>
  <c r="AA77" i="5"/>
  <c r="AA78" i="5"/>
  <c r="Z53" i="5"/>
  <c r="Z54" i="5"/>
  <c r="Z55" i="5"/>
  <c r="Z56" i="5"/>
  <c r="Z57" i="5"/>
  <c r="Z59" i="5"/>
  <c r="Z60" i="5"/>
  <c r="Z61" i="5"/>
  <c r="Z62" i="5"/>
  <c r="Z63" i="5"/>
  <c r="Z64" i="5"/>
  <c r="Z66" i="5"/>
  <c r="Z67" i="5"/>
  <c r="Z68" i="5"/>
  <c r="Z69" i="5"/>
  <c r="Z70" i="5"/>
  <c r="Z71" i="5"/>
  <c r="Z73" i="5"/>
  <c r="Z74" i="5"/>
  <c r="Z75" i="5"/>
  <c r="Z76" i="5"/>
  <c r="Z77" i="5"/>
  <c r="Z78" i="5"/>
  <c r="Y53" i="5"/>
  <c r="Y54" i="5"/>
  <c r="Y55" i="5"/>
  <c r="Y56" i="5"/>
  <c r="Y57" i="5"/>
  <c r="Y59" i="5"/>
  <c r="Y60" i="5"/>
  <c r="Y61" i="5"/>
  <c r="Y62" i="5"/>
  <c r="Y63" i="5"/>
  <c r="Y64" i="5"/>
  <c r="Y66" i="5"/>
  <c r="Y67" i="5"/>
  <c r="Y68" i="5"/>
  <c r="Y69" i="5"/>
  <c r="Y70" i="5"/>
  <c r="Y71" i="5"/>
  <c r="Y73" i="5"/>
  <c r="Y74" i="5"/>
  <c r="Y75" i="5"/>
  <c r="Y76" i="5"/>
  <c r="Y77" i="5"/>
  <c r="Y78" i="5"/>
  <c r="X53" i="5"/>
  <c r="X54" i="5"/>
  <c r="X55" i="5"/>
  <c r="X56" i="5"/>
  <c r="X57" i="5"/>
  <c r="X59" i="5"/>
  <c r="X60" i="5"/>
  <c r="X61" i="5"/>
  <c r="X62" i="5"/>
  <c r="X63" i="5"/>
  <c r="X64" i="5"/>
  <c r="X66" i="5"/>
  <c r="X67" i="5"/>
  <c r="X68" i="5"/>
  <c r="X69" i="5"/>
  <c r="X70" i="5"/>
  <c r="X71" i="5"/>
  <c r="X73" i="5"/>
  <c r="X74" i="5"/>
  <c r="X75" i="5"/>
  <c r="X76" i="5"/>
  <c r="X77" i="5"/>
  <c r="X78" i="5"/>
  <c r="X52" i="5"/>
  <c r="Y52" i="5"/>
  <c r="Z52" i="5"/>
  <c r="AA52" i="5"/>
  <c r="AB52" i="5"/>
  <c r="AC52" i="5"/>
  <c r="W53" i="5"/>
  <c r="W54" i="5"/>
  <c r="W55" i="5"/>
  <c r="W56" i="5"/>
  <c r="W57" i="5"/>
  <c r="W59" i="5"/>
  <c r="W60" i="5"/>
  <c r="W61" i="5"/>
  <c r="W62" i="5"/>
  <c r="W63" i="5"/>
  <c r="W64" i="5"/>
  <c r="W66" i="5"/>
  <c r="W67" i="5"/>
  <c r="W68" i="5"/>
  <c r="W69" i="5"/>
  <c r="W70" i="5"/>
  <c r="W71" i="5"/>
  <c r="W73" i="5"/>
  <c r="W74" i="5"/>
  <c r="W75" i="5"/>
  <c r="W76" i="5"/>
  <c r="W77" i="5"/>
  <c r="W78" i="5"/>
  <c r="W52" i="5"/>
  <c r="M57" i="5" l="1"/>
  <c r="U53" i="5"/>
  <c r="U54" i="5"/>
  <c r="U55" i="5"/>
  <c r="U56" i="5"/>
  <c r="U57" i="5"/>
  <c r="U59" i="5"/>
  <c r="U60" i="5"/>
  <c r="U61" i="5"/>
  <c r="U62" i="5"/>
  <c r="U63" i="5"/>
  <c r="U64" i="5"/>
  <c r="U66" i="5"/>
  <c r="U67" i="5"/>
  <c r="U68" i="5"/>
  <c r="U69" i="5"/>
  <c r="U70" i="5"/>
  <c r="U71" i="5"/>
  <c r="U73" i="5"/>
  <c r="U74" i="5"/>
  <c r="U75" i="5"/>
  <c r="U76" i="5"/>
  <c r="U77" i="5"/>
  <c r="U78" i="5"/>
  <c r="U52" i="5"/>
  <c r="S83" i="5"/>
  <c r="S84" i="5"/>
  <c r="S85" i="5"/>
  <c r="S86" i="5"/>
  <c r="S87" i="5"/>
  <c r="S89" i="5"/>
  <c r="S90" i="5"/>
  <c r="S91" i="5"/>
  <c r="S92" i="5"/>
  <c r="S93" i="5"/>
  <c r="S94" i="5"/>
  <c r="S96" i="5"/>
  <c r="S97" i="5"/>
  <c r="S98" i="5"/>
  <c r="S99" i="5"/>
  <c r="S100" i="5"/>
  <c r="S101" i="5"/>
  <c r="S103" i="5"/>
  <c r="S104" i="5"/>
  <c r="S105" i="5"/>
  <c r="S106" i="5"/>
  <c r="S107" i="5"/>
  <c r="S108" i="5"/>
  <c r="S82" i="5"/>
  <c r="Q83" i="5"/>
  <c r="Q84" i="5"/>
  <c r="Q85" i="5"/>
  <c r="Q86" i="5"/>
  <c r="Q87" i="5"/>
  <c r="Q89" i="5"/>
  <c r="Q90" i="5"/>
  <c r="Q91" i="5"/>
  <c r="Q92" i="5"/>
  <c r="Q93" i="5"/>
  <c r="Q94" i="5"/>
  <c r="Q96" i="5"/>
  <c r="Q97" i="5"/>
  <c r="Q98" i="5"/>
  <c r="Q99" i="5"/>
  <c r="Q100" i="5"/>
  <c r="Q101" i="5"/>
  <c r="Q103" i="5"/>
  <c r="Q104" i="5"/>
  <c r="Q105" i="5"/>
  <c r="Q106" i="5"/>
  <c r="Q107" i="5"/>
  <c r="Q108" i="5"/>
  <c r="Q82" i="5"/>
  <c r="P83" i="5"/>
  <c r="P84" i="5"/>
  <c r="P85" i="5"/>
  <c r="P86" i="5"/>
  <c r="P87" i="5"/>
  <c r="P89" i="5"/>
  <c r="P90" i="5"/>
  <c r="P91" i="5"/>
  <c r="P92" i="5"/>
  <c r="P93" i="5"/>
  <c r="P94" i="5"/>
  <c r="P96" i="5"/>
  <c r="P97" i="5"/>
  <c r="P98" i="5"/>
  <c r="P99" i="5"/>
  <c r="P100" i="5"/>
  <c r="P101" i="5"/>
  <c r="P103" i="5"/>
  <c r="P104" i="5"/>
  <c r="P105" i="5"/>
  <c r="P106" i="5"/>
  <c r="P107" i="5"/>
  <c r="P108" i="5"/>
  <c r="P82" i="5"/>
  <c r="O83" i="5"/>
  <c r="O84" i="5"/>
  <c r="O85" i="5"/>
  <c r="O86" i="5"/>
  <c r="O87" i="5"/>
  <c r="O89" i="5"/>
  <c r="O90" i="5"/>
  <c r="O91" i="5"/>
  <c r="O92" i="5"/>
  <c r="O93" i="5"/>
  <c r="O94" i="5"/>
  <c r="O96" i="5"/>
  <c r="O97" i="5"/>
  <c r="O98" i="5"/>
  <c r="O99" i="5"/>
  <c r="O100" i="5"/>
  <c r="O101" i="5"/>
  <c r="O103" i="5"/>
  <c r="O104" i="5"/>
  <c r="O105" i="5"/>
  <c r="O106" i="5"/>
  <c r="O107" i="5"/>
  <c r="O108" i="5"/>
  <c r="O82" i="5"/>
  <c r="M83" i="5"/>
  <c r="M84" i="5"/>
  <c r="M85" i="5"/>
  <c r="M86" i="5"/>
  <c r="M87" i="5"/>
  <c r="M89" i="5"/>
  <c r="M90" i="5"/>
  <c r="M91" i="5"/>
  <c r="M92" i="5"/>
  <c r="M93" i="5"/>
  <c r="M94" i="5"/>
  <c r="M96" i="5"/>
  <c r="M97" i="5"/>
  <c r="M98" i="5"/>
  <c r="M99" i="5"/>
  <c r="M100" i="5"/>
  <c r="M101" i="5"/>
  <c r="M103" i="5"/>
  <c r="M104" i="5"/>
  <c r="M105" i="5"/>
  <c r="M106" i="5"/>
  <c r="M107" i="5"/>
  <c r="M108" i="5"/>
  <c r="M82" i="5"/>
  <c r="R71" i="5"/>
  <c r="O62" i="5"/>
  <c r="O73" i="5"/>
  <c r="N57" i="5"/>
  <c r="N63" i="5"/>
  <c r="M71" i="5"/>
  <c r="AA23" i="5"/>
  <c r="S53" i="5" s="1"/>
  <c r="AA31" i="5"/>
  <c r="S61" i="5" s="1"/>
  <c r="AA36" i="5"/>
  <c r="S66" i="5" s="1"/>
  <c r="AA43" i="5"/>
  <c r="S73" i="5" s="1"/>
  <c r="AA44" i="5"/>
  <c r="S74" i="5" s="1"/>
  <c r="Z26" i="5"/>
  <c r="R56" i="5" s="1"/>
  <c r="Z33" i="5"/>
  <c r="R63" i="5" s="1"/>
  <c r="Z37" i="5"/>
  <c r="R67" i="5" s="1"/>
  <c r="Z38" i="5"/>
  <c r="R68" i="5" s="1"/>
  <c r="Z45" i="5"/>
  <c r="R75" i="5" s="1"/>
  <c r="Y27" i="5"/>
  <c r="Q57" i="5" s="1"/>
  <c r="Y39" i="5"/>
  <c r="Q69" i="5" s="1"/>
  <c r="Y40" i="5"/>
  <c r="Q70" i="5" s="1"/>
  <c r="X29" i="5"/>
  <c r="P59" i="5" s="1"/>
  <c r="X41" i="5"/>
  <c r="P71" i="5" s="1"/>
  <c r="X45" i="5"/>
  <c r="P75" i="5" s="1"/>
  <c r="W31" i="5"/>
  <c r="O61" i="5" s="1"/>
  <c r="W39" i="5"/>
  <c r="O69" i="5" s="1"/>
  <c r="W40" i="5"/>
  <c r="O70" i="5" s="1"/>
  <c r="W47" i="5"/>
  <c r="O77" i="5" s="1"/>
  <c r="V29" i="5"/>
  <c r="N59" i="5" s="1"/>
  <c r="V34" i="5"/>
  <c r="N64" i="5" s="1"/>
  <c r="V41" i="5"/>
  <c r="N71" i="5" s="1"/>
  <c r="W22" i="5"/>
  <c r="O52" i="5" s="1"/>
  <c r="U25" i="5"/>
  <c r="M55" i="5" s="1"/>
  <c r="U29" i="5"/>
  <c r="M59" i="5" s="1"/>
  <c r="U30" i="5"/>
  <c r="M60" i="5" s="1"/>
  <c r="U38" i="5"/>
  <c r="M68" i="5" s="1"/>
  <c r="S23" i="5"/>
  <c r="S24" i="5"/>
  <c r="AA24" i="5" s="1"/>
  <c r="S54" i="5" s="1"/>
  <c r="S25" i="5"/>
  <c r="AA25" i="5" s="1"/>
  <c r="S55" i="5" s="1"/>
  <c r="S26" i="5"/>
  <c r="AA26" i="5" s="1"/>
  <c r="S56" i="5" s="1"/>
  <c r="S27" i="5"/>
  <c r="AA27" i="5" s="1"/>
  <c r="S57" i="5" s="1"/>
  <c r="S29" i="5"/>
  <c r="AA29" i="5" s="1"/>
  <c r="S59" i="5" s="1"/>
  <c r="S30" i="5"/>
  <c r="AA30" i="5" s="1"/>
  <c r="S60" i="5" s="1"/>
  <c r="S31" i="5"/>
  <c r="S32" i="5"/>
  <c r="AA32" i="5" s="1"/>
  <c r="S62" i="5" s="1"/>
  <c r="S33" i="5"/>
  <c r="AA33" i="5" s="1"/>
  <c r="S63" i="5" s="1"/>
  <c r="S34" i="5"/>
  <c r="AA34" i="5" s="1"/>
  <c r="S64" i="5" s="1"/>
  <c r="S36" i="5"/>
  <c r="S37" i="5"/>
  <c r="AA37" i="5" s="1"/>
  <c r="S67" i="5" s="1"/>
  <c r="S38" i="5"/>
  <c r="AA38" i="5" s="1"/>
  <c r="S68" i="5" s="1"/>
  <c r="S39" i="5"/>
  <c r="AA39" i="5" s="1"/>
  <c r="S69" i="5" s="1"/>
  <c r="S40" i="5"/>
  <c r="AA40" i="5" s="1"/>
  <c r="S70" i="5" s="1"/>
  <c r="S41" i="5"/>
  <c r="AA41" i="5" s="1"/>
  <c r="S71" i="5" s="1"/>
  <c r="S43" i="5"/>
  <c r="S44" i="5"/>
  <c r="S45" i="5"/>
  <c r="AA45" i="5" s="1"/>
  <c r="S75" i="5" s="1"/>
  <c r="S46" i="5"/>
  <c r="AA46" i="5" s="1"/>
  <c r="S76" i="5" s="1"/>
  <c r="S47" i="5"/>
  <c r="AA47" i="5" s="1"/>
  <c r="S77" i="5" s="1"/>
  <c r="S48" i="5"/>
  <c r="AA48" i="5" s="1"/>
  <c r="S78" i="5" s="1"/>
  <c r="R23" i="5"/>
  <c r="Z23" i="5" s="1"/>
  <c r="R53" i="5" s="1"/>
  <c r="R24" i="5"/>
  <c r="Z24" i="5" s="1"/>
  <c r="R54" i="5" s="1"/>
  <c r="R25" i="5"/>
  <c r="Z25" i="5" s="1"/>
  <c r="R55" i="5" s="1"/>
  <c r="R26" i="5"/>
  <c r="R27" i="5"/>
  <c r="Z27" i="5" s="1"/>
  <c r="R57" i="5" s="1"/>
  <c r="R28" i="5"/>
  <c r="R29" i="5"/>
  <c r="Z29" i="5" s="1"/>
  <c r="R59" i="5" s="1"/>
  <c r="R30" i="5"/>
  <c r="Z30" i="5" s="1"/>
  <c r="R60" i="5" s="1"/>
  <c r="R31" i="5"/>
  <c r="Z31" i="5" s="1"/>
  <c r="R61" i="5" s="1"/>
  <c r="R32" i="5"/>
  <c r="Z32" i="5" s="1"/>
  <c r="R62" i="5" s="1"/>
  <c r="R33" i="5"/>
  <c r="R34" i="5"/>
  <c r="Z34" i="5" s="1"/>
  <c r="R64" i="5" s="1"/>
  <c r="R35" i="5"/>
  <c r="R36" i="5"/>
  <c r="Z36" i="5" s="1"/>
  <c r="R66" i="5" s="1"/>
  <c r="R37" i="5"/>
  <c r="R38" i="5"/>
  <c r="R39" i="5"/>
  <c r="Z39" i="5" s="1"/>
  <c r="R69" i="5" s="1"/>
  <c r="R40" i="5"/>
  <c r="Z40" i="5" s="1"/>
  <c r="R70" i="5" s="1"/>
  <c r="R41" i="5"/>
  <c r="Z41" i="5" s="1"/>
  <c r="R42" i="5"/>
  <c r="R43" i="5"/>
  <c r="Z43" i="5" s="1"/>
  <c r="R73" i="5" s="1"/>
  <c r="R44" i="5"/>
  <c r="Z44" i="5" s="1"/>
  <c r="R74" i="5" s="1"/>
  <c r="R45" i="5"/>
  <c r="R46" i="5"/>
  <c r="Z46" i="5" s="1"/>
  <c r="R76" i="5" s="1"/>
  <c r="R47" i="5"/>
  <c r="Z47" i="5" s="1"/>
  <c r="R77" i="5" s="1"/>
  <c r="R48" i="5"/>
  <c r="Z48" i="5" s="1"/>
  <c r="R78" i="5" s="1"/>
  <c r="Q23" i="5"/>
  <c r="Y23" i="5" s="1"/>
  <c r="Q53" i="5" s="1"/>
  <c r="Q24" i="5"/>
  <c r="Y24" i="5" s="1"/>
  <c r="Q54" i="5" s="1"/>
  <c r="Q25" i="5"/>
  <c r="Y25" i="5" s="1"/>
  <c r="Q55" i="5" s="1"/>
  <c r="Q26" i="5"/>
  <c r="Y26" i="5" s="1"/>
  <c r="Q56" i="5" s="1"/>
  <c r="Q27" i="5"/>
  <c r="Q28" i="5"/>
  <c r="Q29" i="5"/>
  <c r="Y29" i="5" s="1"/>
  <c r="Q59" i="5" s="1"/>
  <c r="Q30" i="5"/>
  <c r="Y30" i="5" s="1"/>
  <c r="Q60" i="5" s="1"/>
  <c r="Q31" i="5"/>
  <c r="Y31" i="5" s="1"/>
  <c r="Q61" i="5" s="1"/>
  <c r="Q32" i="5"/>
  <c r="Y32" i="5" s="1"/>
  <c r="Q62" i="5" s="1"/>
  <c r="Q33" i="5"/>
  <c r="Y33" i="5" s="1"/>
  <c r="Q63" i="5" s="1"/>
  <c r="Q34" i="5"/>
  <c r="Y34" i="5" s="1"/>
  <c r="Q64" i="5" s="1"/>
  <c r="Q35" i="5"/>
  <c r="Q36" i="5"/>
  <c r="Y36" i="5" s="1"/>
  <c r="Q66" i="5" s="1"/>
  <c r="Q37" i="5"/>
  <c r="Y37" i="5" s="1"/>
  <c r="Q67" i="5" s="1"/>
  <c r="Q38" i="5"/>
  <c r="Y38" i="5" s="1"/>
  <c r="Q68" i="5" s="1"/>
  <c r="Q39" i="5"/>
  <c r="Q40" i="5"/>
  <c r="Q41" i="5"/>
  <c r="Y41" i="5" s="1"/>
  <c r="Q71" i="5" s="1"/>
  <c r="Q42" i="5"/>
  <c r="Q43" i="5"/>
  <c r="Y43" i="5" s="1"/>
  <c r="Q73" i="5" s="1"/>
  <c r="Q44" i="5"/>
  <c r="Y44" i="5" s="1"/>
  <c r="Q74" i="5" s="1"/>
  <c r="Q45" i="5"/>
  <c r="Y45" i="5" s="1"/>
  <c r="Q75" i="5" s="1"/>
  <c r="Q46" i="5"/>
  <c r="Y46" i="5" s="1"/>
  <c r="Q76" i="5" s="1"/>
  <c r="Q47" i="5"/>
  <c r="Y47" i="5" s="1"/>
  <c r="Q77" i="5" s="1"/>
  <c r="Q48" i="5"/>
  <c r="Y48" i="5" s="1"/>
  <c r="Q78" i="5" s="1"/>
  <c r="P23" i="5"/>
  <c r="X23" i="5" s="1"/>
  <c r="P53" i="5" s="1"/>
  <c r="P24" i="5"/>
  <c r="X24" i="5" s="1"/>
  <c r="P54" i="5" s="1"/>
  <c r="P25" i="5"/>
  <c r="X25" i="5" s="1"/>
  <c r="P55" i="5" s="1"/>
  <c r="P26" i="5"/>
  <c r="X26" i="5" s="1"/>
  <c r="P56" i="5" s="1"/>
  <c r="P27" i="5"/>
  <c r="X27" i="5" s="1"/>
  <c r="P57" i="5" s="1"/>
  <c r="P28" i="5"/>
  <c r="P29" i="5"/>
  <c r="P30" i="5"/>
  <c r="X30" i="5" s="1"/>
  <c r="P60" i="5" s="1"/>
  <c r="P31" i="5"/>
  <c r="X31" i="5" s="1"/>
  <c r="P61" i="5" s="1"/>
  <c r="P32" i="5"/>
  <c r="X32" i="5" s="1"/>
  <c r="P62" i="5" s="1"/>
  <c r="P33" i="5"/>
  <c r="X33" i="5" s="1"/>
  <c r="P63" i="5" s="1"/>
  <c r="P34" i="5"/>
  <c r="X34" i="5" s="1"/>
  <c r="P64" i="5" s="1"/>
  <c r="P35" i="5"/>
  <c r="P36" i="5"/>
  <c r="X36" i="5" s="1"/>
  <c r="P66" i="5" s="1"/>
  <c r="P37" i="5"/>
  <c r="X37" i="5" s="1"/>
  <c r="P67" i="5" s="1"/>
  <c r="P38" i="5"/>
  <c r="X38" i="5" s="1"/>
  <c r="P68" i="5" s="1"/>
  <c r="P39" i="5"/>
  <c r="X39" i="5" s="1"/>
  <c r="P69" i="5" s="1"/>
  <c r="P40" i="5"/>
  <c r="X40" i="5" s="1"/>
  <c r="P70" i="5" s="1"/>
  <c r="P41" i="5"/>
  <c r="P42" i="5"/>
  <c r="P43" i="5"/>
  <c r="X43" i="5" s="1"/>
  <c r="P73" i="5" s="1"/>
  <c r="P44" i="5"/>
  <c r="X44" i="5" s="1"/>
  <c r="P74" i="5" s="1"/>
  <c r="P45" i="5"/>
  <c r="P46" i="5"/>
  <c r="X46" i="5" s="1"/>
  <c r="P76" i="5" s="1"/>
  <c r="P47" i="5"/>
  <c r="X47" i="5" s="1"/>
  <c r="P77" i="5" s="1"/>
  <c r="P48" i="5"/>
  <c r="X48" i="5" s="1"/>
  <c r="P78" i="5" s="1"/>
  <c r="O23" i="5"/>
  <c r="W23" i="5" s="1"/>
  <c r="O53" i="5" s="1"/>
  <c r="O24" i="5"/>
  <c r="W24" i="5" s="1"/>
  <c r="O54" i="5" s="1"/>
  <c r="O25" i="5"/>
  <c r="W25" i="5" s="1"/>
  <c r="O55" i="5" s="1"/>
  <c r="O26" i="5"/>
  <c r="W26" i="5" s="1"/>
  <c r="O56" i="5" s="1"/>
  <c r="O27" i="5"/>
  <c r="W27" i="5" s="1"/>
  <c r="O57" i="5" s="1"/>
  <c r="O28" i="5"/>
  <c r="O29" i="5"/>
  <c r="W29" i="5" s="1"/>
  <c r="O59" i="5" s="1"/>
  <c r="O30" i="5"/>
  <c r="W30" i="5" s="1"/>
  <c r="O60" i="5" s="1"/>
  <c r="O31" i="5"/>
  <c r="O32" i="5"/>
  <c r="W32" i="5" s="1"/>
  <c r="O33" i="5"/>
  <c r="W33" i="5" s="1"/>
  <c r="O63" i="5" s="1"/>
  <c r="O34" i="5"/>
  <c r="W34" i="5" s="1"/>
  <c r="O64" i="5" s="1"/>
  <c r="O35" i="5"/>
  <c r="O36" i="5"/>
  <c r="W36" i="5" s="1"/>
  <c r="O66" i="5" s="1"/>
  <c r="O37" i="5"/>
  <c r="W37" i="5" s="1"/>
  <c r="O67" i="5" s="1"/>
  <c r="O38" i="5"/>
  <c r="W38" i="5" s="1"/>
  <c r="O68" i="5" s="1"/>
  <c r="O39" i="5"/>
  <c r="O40" i="5"/>
  <c r="O41" i="5"/>
  <c r="W41" i="5" s="1"/>
  <c r="O71" i="5" s="1"/>
  <c r="O42" i="5"/>
  <c r="O43" i="5"/>
  <c r="W43" i="5" s="1"/>
  <c r="O44" i="5"/>
  <c r="W44" i="5" s="1"/>
  <c r="O74" i="5" s="1"/>
  <c r="O45" i="5"/>
  <c r="W45" i="5" s="1"/>
  <c r="O75" i="5" s="1"/>
  <c r="O46" i="5"/>
  <c r="W46" i="5" s="1"/>
  <c r="O76" i="5" s="1"/>
  <c r="O47" i="5"/>
  <c r="O48" i="5"/>
  <c r="W48" i="5" s="1"/>
  <c r="O78" i="5" s="1"/>
  <c r="N23" i="5"/>
  <c r="V23" i="5" s="1"/>
  <c r="N53" i="5" s="1"/>
  <c r="N24" i="5"/>
  <c r="V24" i="5" s="1"/>
  <c r="N54" i="5" s="1"/>
  <c r="N25" i="5"/>
  <c r="V25" i="5" s="1"/>
  <c r="N55" i="5" s="1"/>
  <c r="N26" i="5"/>
  <c r="V26" i="5" s="1"/>
  <c r="N56" i="5" s="1"/>
  <c r="N27" i="5"/>
  <c r="V27" i="5" s="1"/>
  <c r="N28" i="5"/>
  <c r="N29" i="5"/>
  <c r="N30" i="5"/>
  <c r="V30" i="5" s="1"/>
  <c r="N60" i="5" s="1"/>
  <c r="N31" i="5"/>
  <c r="V31" i="5" s="1"/>
  <c r="N61" i="5" s="1"/>
  <c r="N32" i="5"/>
  <c r="V32" i="5" s="1"/>
  <c r="N62" i="5" s="1"/>
  <c r="N33" i="5"/>
  <c r="V33" i="5" s="1"/>
  <c r="N34" i="5"/>
  <c r="N35" i="5"/>
  <c r="N36" i="5"/>
  <c r="V36" i="5" s="1"/>
  <c r="N66" i="5" s="1"/>
  <c r="N37" i="5"/>
  <c r="V37" i="5" s="1"/>
  <c r="N67" i="5" s="1"/>
  <c r="N38" i="5"/>
  <c r="V38" i="5" s="1"/>
  <c r="N68" i="5" s="1"/>
  <c r="N39" i="5"/>
  <c r="V39" i="5" s="1"/>
  <c r="N69" i="5" s="1"/>
  <c r="N40" i="5"/>
  <c r="V40" i="5" s="1"/>
  <c r="N70" i="5" s="1"/>
  <c r="N41" i="5"/>
  <c r="N42" i="5"/>
  <c r="N43" i="5"/>
  <c r="V43" i="5" s="1"/>
  <c r="N73" i="5" s="1"/>
  <c r="N44" i="5"/>
  <c r="V44" i="5" s="1"/>
  <c r="N74" i="5" s="1"/>
  <c r="N45" i="5"/>
  <c r="V45" i="5" s="1"/>
  <c r="N75" i="5" s="1"/>
  <c r="N46" i="5"/>
  <c r="V46" i="5" s="1"/>
  <c r="N76" i="5" s="1"/>
  <c r="N47" i="5"/>
  <c r="V47" i="5" s="1"/>
  <c r="N77" i="5" s="1"/>
  <c r="N48" i="5"/>
  <c r="V48" i="5" s="1"/>
  <c r="N78" i="5" s="1"/>
  <c r="N22" i="5"/>
  <c r="V22" i="5" s="1"/>
  <c r="N52" i="5" s="1"/>
  <c r="O22" i="5"/>
  <c r="P22" i="5"/>
  <c r="X22" i="5" s="1"/>
  <c r="P52" i="5" s="1"/>
  <c r="Q22" i="5"/>
  <c r="Y22" i="5" s="1"/>
  <c r="Q52" i="5" s="1"/>
  <c r="R22" i="5"/>
  <c r="Z22" i="5" s="1"/>
  <c r="R52" i="5" s="1"/>
  <c r="S22" i="5"/>
  <c r="AA22" i="5" s="1"/>
  <c r="S52" i="5" s="1"/>
  <c r="M23" i="5"/>
  <c r="U23" i="5" s="1"/>
  <c r="M53" i="5" s="1"/>
  <c r="M24" i="5"/>
  <c r="U24" i="5" s="1"/>
  <c r="M54" i="5" s="1"/>
  <c r="M25" i="5"/>
  <c r="M26" i="5"/>
  <c r="U26" i="5" s="1"/>
  <c r="M56" i="5" s="1"/>
  <c r="M27" i="5"/>
  <c r="U27" i="5" s="1"/>
  <c r="M28" i="5"/>
  <c r="M29" i="5"/>
  <c r="M30" i="5"/>
  <c r="M31" i="5"/>
  <c r="U31" i="5" s="1"/>
  <c r="M61" i="5" s="1"/>
  <c r="M32" i="5"/>
  <c r="U32" i="5" s="1"/>
  <c r="M62" i="5" s="1"/>
  <c r="M33" i="5"/>
  <c r="U33" i="5" s="1"/>
  <c r="M63" i="5" s="1"/>
  <c r="M34" i="5"/>
  <c r="U34" i="5" s="1"/>
  <c r="M64" i="5" s="1"/>
  <c r="M35" i="5"/>
  <c r="M36" i="5"/>
  <c r="U36" i="5" s="1"/>
  <c r="M66" i="5" s="1"/>
  <c r="M37" i="5"/>
  <c r="U37" i="5" s="1"/>
  <c r="M67" i="5" s="1"/>
  <c r="M38" i="5"/>
  <c r="M39" i="5"/>
  <c r="U39" i="5" s="1"/>
  <c r="M69" i="5" s="1"/>
  <c r="M40" i="5"/>
  <c r="U40" i="5" s="1"/>
  <c r="M70" i="5" s="1"/>
  <c r="M41" i="5"/>
  <c r="U41" i="5" s="1"/>
  <c r="M42" i="5"/>
  <c r="M43" i="5"/>
  <c r="U43" i="5" s="1"/>
  <c r="M73" i="5" s="1"/>
  <c r="M44" i="5"/>
  <c r="U44" i="5" s="1"/>
  <c r="M74" i="5" s="1"/>
  <c r="M45" i="5"/>
  <c r="U45" i="5" s="1"/>
  <c r="M75" i="5" s="1"/>
  <c r="M46" i="5"/>
  <c r="U46" i="5" s="1"/>
  <c r="M76" i="5" s="1"/>
  <c r="M47" i="5"/>
  <c r="U47" i="5" s="1"/>
  <c r="M77" i="5" s="1"/>
  <c r="M48" i="5"/>
  <c r="U48" i="5" s="1"/>
  <c r="M78" i="5" s="1"/>
  <c r="M22" i="5"/>
  <c r="U22" i="5" s="1"/>
  <c r="M52" i="5" s="1"/>
  <c r="K26" i="3"/>
  <c r="K27" i="3"/>
  <c r="K28" i="3"/>
  <c r="K29" i="3"/>
  <c r="K30" i="3"/>
  <c r="K31" i="3"/>
  <c r="K25" i="3"/>
  <c r="J26" i="3"/>
  <c r="J27" i="3"/>
  <c r="J28" i="3"/>
  <c r="J29" i="3"/>
  <c r="J30" i="3"/>
  <c r="J31" i="3"/>
  <c r="J25" i="3"/>
  <c r="I26" i="3"/>
  <c r="I27" i="3"/>
  <c r="I28" i="3"/>
  <c r="I29" i="3"/>
  <c r="I30" i="3"/>
  <c r="I31" i="3"/>
  <c r="I25" i="3"/>
  <c r="H26" i="3"/>
  <c r="H27" i="3"/>
  <c r="H28" i="3"/>
  <c r="H29" i="3"/>
  <c r="H30" i="3"/>
  <c r="H31" i="3"/>
  <c r="H25" i="3"/>
  <c r="C60" i="3" l="1"/>
  <c r="D60" i="3"/>
  <c r="E60" i="3"/>
  <c r="C59" i="3"/>
  <c r="D59" i="3"/>
  <c r="E59" i="3"/>
  <c r="C58" i="3"/>
  <c r="D58" i="3"/>
  <c r="E58" i="3"/>
  <c r="C57" i="3"/>
  <c r="D57" i="3"/>
  <c r="E57" i="3"/>
  <c r="B57" i="3"/>
  <c r="C56" i="3"/>
  <c r="D56" i="3"/>
  <c r="E56" i="3"/>
  <c r="B59" i="3"/>
  <c r="B60" i="3"/>
  <c r="B58" i="3"/>
  <c r="B56" i="3"/>
  <c r="B61" i="3" s="1"/>
  <c r="G59" i="3" s="1"/>
  <c r="C55" i="3"/>
  <c r="D55" i="3"/>
  <c r="E55" i="3"/>
  <c r="B55" i="3"/>
  <c r="E65" i="3"/>
  <c r="E66" i="3"/>
  <c r="E67" i="3"/>
  <c r="E68" i="3"/>
  <c r="E69" i="3"/>
  <c r="E70" i="3"/>
  <c r="D65" i="3"/>
  <c r="D71" i="3" s="1"/>
  <c r="I67" i="3" s="1"/>
  <c r="D66" i="3"/>
  <c r="D67" i="3"/>
  <c r="D68" i="3"/>
  <c r="D69" i="3"/>
  <c r="D70" i="3"/>
  <c r="C65" i="3"/>
  <c r="C66" i="3"/>
  <c r="C67" i="3"/>
  <c r="C68" i="3"/>
  <c r="C69" i="3"/>
  <c r="C70" i="3"/>
  <c r="B65" i="3"/>
  <c r="B66" i="3"/>
  <c r="B67" i="3"/>
  <c r="B68" i="3"/>
  <c r="B69" i="3"/>
  <c r="B70" i="3"/>
  <c r="C64" i="3"/>
  <c r="D64" i="3"/>
  <c r="E64" i="3"/>
  <c r="E71" i="3" s="1"/>
  <c r="B64" i="3"/>
  <c r="C61" i="3"/>
  <c r="H60" i="3" s="1"/>
  <c r="D61" i="3"/>
  <c r="I59" i="3" s="1"/>
  <c r="D51" i="3"/>
  <c r="I47" i="3"/>
  <c r="H46" i="3"/>
  <c r="I44" i="3"/>
  <c r="G43" i="3"/>
  <c r="H40" i="3"/>
  <c r="I38" i="3"/>
  <c r="G37" i="3"/>
  <c r="H35" i="3"/>
  <c r="I35" i="3"/>
  <c r="D43" i="3"/>
  <c r="D44" i="3"/>
  <c r="D45" i="3"/>
  <c r="D46" i="3"/>
  <c r="D47" i="3"/>
  <c r="D48" i="3"/>
  <c r="D42" i="3"/>
  <c r="D49" i="3" s="1"/>
  <c r="K10" i="3"/>
  <c r="K11" i="3"/>
  <c r="K12" i="3"/>
  <c r="K13" i="3"/>
  <c r="K14" i="3"/>
  <c r="K15" i="3"/>
  <c r="K16" i="3"/>
  <c r="K17" i="3"/>
  <c r="K18" i="3"/>
  <c r="I37" i="3" s="1"/>
  <c r="K19" i="3"/>
  <c r="K20" i="3"/>
  <c r="K21" i="3"/>
  <c r="K22" i="3"/>
  <c r="K23" i="3"/>
  <c r="I39" i="3" s="1"/>
  <c r="K24" i="3"/>
  <c r="I42" i="3"/>
  <c r="I43" i="3"/>
  <c r="I45" i="3"/>
  <c r="I46" i="3"/>
  <c r="I48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H42" i="3"/>
  <c r="H43" i="3"/>
  <c r="H44" i="3"/>
  <c r="H45" i="3"/>
  <c r="H47" i="3"/>
  <c r="H48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G42" i="3"/>
  <c r="G44" i="3"/>
  <c r="G45" i="3"/>
  <c r="G46" i="3"/>
  <c r="G47" i="3"/>
  <c r="G48" i="3"/>
  <c r="I9" i="3"/>
  <c r="J9" i="3"/>
  <c r="K9" i="3"/>
  <c r="H10" i="3"/>
  <c r="H11" i="3"/>
  <c r="H12" i="3"/>
  <c r="H13" i="3"/>
  <c r="H14" i="3"/>
  <c r="H15" i="3"/>
  <c r="H16" i="3"/>
  <c r="F35" i="3" s="1"/>
  <c r="H17" i="3"/>
  <c r="F36" i="3" s="1"/>
  <c r="H18" i="3"/>
  <c r="F37" i="3" s="1"/>
  <c r="H19" i="3"/>
  <c r="H20" i="3"/>
  <c r="H21" i="3"/>
  <c r="H22" i="3"/>
  <c r="F38" i="3" s="1"/>
  <c r="H23" i="3"/>
  <c r="F39" i="3" s="1"/>
  <c r="H24" i="3"/>
  <c r="F40" i="3" s="1"/>
  <c r="F42" i="3"/>
  <c r="F43" i="3"/>
  <c r="F44" i="3"/>
  <c r="F45" i="3"/>
  <c r="F46" i="3"/>
  <c r="F47" i="3"/>
  <c r="F48" i="3"/>
  <c r="H9" i="3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C87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C85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C84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C76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C74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C73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C65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C63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C62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C54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C52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C51" i="2"/>
  <c r="R88" i="2"/>
  <c r="Q88" i="2"/>
  <c r="D88" i="2"/>
  <c r="P88" i="2"/>
  <c r="O88" i="2"/>
  <c r="N88" i="2"/>
  <c r="H88" i="2"/>
  <c r="E88" i="2"/>
  <c r="M88" i="2"/>
  <c r="L88" i="2"/>
  <c r="K88" i="2"/>
  <c r="J88" i="2"/>
  <c r="G88" i="2"/>
  <c r="F88" i="2"/>
  <c r="I88" i="2"/>
  <c r="C88" i="2"/>
  <c r="R86" i="2"/>
  <c r="Q86" i="2"/>
  <c r="D86" i="2"/>
  <c r="P86" i="2"/>
  <c r="O86" i="2"/>
  <c r="N86" i="2"/>
  <c r="H86" i="2"/>
  <c r="E86" i="2"/>
  <c r="M86" i="2"/>
  <c r="L86" i="2"/>
  <c r="K86" i="2"/>
  <c r="J86" i="2"/>
  <c r="G86" i="2"/>
  <c r="F86" i="2"/>
  <c r="I86" i="2"/>
  <c r="C86" i="2"/>
  <c r="R77" i="2"/>
  <c r="Q77" i="2"/>
  <c r="D77" i="2"/>
  <c r="P77" i="2"/>
  <c r="O77" i="2"/>
  <c r="N77" i="2"/>
  <c r="H77" i="2"/>
  <c r="E77" i="2"/>
  <c r="M77" i="2"/>
  <c r="L77" i="2"/>
  <c r="K77" i="2"/>
  <c r="J77" i="2"/>
  <c r="G77" i="2"/>
  <c r="F77" i="2"/>
  <c r="I77" i="2"/>
  <c r="C77" i="2"/>
  <c r="R75" i="2"/>
  <c r="Q75" i="2"/>
  <c r="D75" i="2"/>
  <c r="P75" i="2"/>
  <c r="O75" i="2"/>
  <c r="N75" i="2"/>
  <c r="H75" i="2"/>
  <c r="E75" i="2"/>
  <c r="M75" i="2"/>
  <c r="L75" i="2"/>
  <c r="K75" i="2"/>
  <c r="J75" i="2"/>
  <c r="G75" i="2"/>
  <c r="F75" i="2"/>
  <c r="I75" i="2"/>
  <c r="C75" i="2"/>
  <c r="R66" i="2"/>
  <c r="Q66" i="2"/>
  <c r="D66" i="2"/>
  <c r="P66" i="2"/>
  <c r="O66" i="2"/>
  <c r="N66" i="2"/>
  <c r="H66" i="2"/>
  <c r="E66" i="2"/>
  <c r="M66" i="2"/>
  <c r="L66" i="2"/>
  <c r="K66" i="2"/>
  <c r="J66" i="2"/>
  <c r="G66" i="2"/>
  <c r="F66" i="2"/>
  <c r="I66" i="2"/>
  <c r="C66" i="2"/>
  <c r="R64" i="2"/>
  <c r="Q64" i="2"/>
  <c r="D64" i="2"/>
  <c r="P64" i="2"/>
  <c r="O64" i="2"/>
  <c r="N64" i="2"/>
  <c r="H64" i="2"/>
  <c r="E64" i="2"/>
  <c r="M64" i="2"/>
  <c r="L64" i="2"/>
  <c r="K64" i="2"/>
  <c r="J64" i="2"/>
  <c r="G64" i="2"/>
  <c r="F64" i="2"/>
  <c r="I64" i="2"/>
  <c r="C64" i="2"/>
  <c r="R55" i="2"/>
  <c r="Q55" i="2"/>
  <c r="D55" i="2"/>
  <c r="P55" i="2"/>
  <c r="O55" i="2"/>
  <c r="N55" i="2"/>
  <c r="H55" i="2"/>
  <c r="E55" i="2"/>
  <c r="M55" i="2"/>
  <c r="L55" i="2"/>
  <c r="K55" i="2"/>
  <c r="J55" i="2"/>
  <c r="G55" i="2"/>
  <c r="F55" i="2"/>
  <c r="I55" i="2"/>
  <c r="C55" i="2"/>
  <c r="R53" i="2"/>
  <c r="Q53" i="2"/>
  <c r="D53" i="2"/>
  <c r="P53" i="2"/>
  <c r="O53" i="2"/>
  <c r="N53" i="2"/>
  <c r="H53" i="2"/>
  <c r="E53" i="2"/>
  <c r="M53" i="2"/>
  <c r="L53" i="2"/>
  <c r="K53" i="2"/>
  <c r="J53" i="2"/>
  <c r="G53" i="2"/>
  <c r="F53" i="2"/>
  <c r="I53" i="2"/>
  <c r="C53" i="2"/>
  <c r="R39" i="2"/>
  <c r="Q39" i="2"/>
  <c r="D39" i="2"/>
  <c r="P39" i="2"/>
  <c r="O39" i="2"/>
  <c r="N39" i="2"/>
  <c r="H39" i="2"/>
  <c r="E39" i="2"/>
  <c r="M39" i="2"/>
  <c r="L39" i="2"/>
  <c r="K39" i="2"/>
  <c r="J39" i="2"/>
  <c r="G39" i="2"/>
  <c r="F39" i="2"/>
  <c r="I39" i="2"/>
  <c r="C39" i="2"/>
  <c r="R38" i="2"/>
  <c r="Q38" i="2"/>
  <c r="D38" i="2"/>
  <c r="P38" i="2"/>
  <c r="O38" i="2"/>
  <c r="N38" i="2"/>
  <c r="H38" i="2"/>
  <c r="E38" i="2"/>
  <c r="M38" i="2"/>
  <c r="L38" i="2"/>
  <c r="K38" i="2"/>
  <c r="J38" i="2"/>
  <c r="G38" i="2"/>
  <c r="F38" i="2"/>
  <c r="I38" i="2"/>
  <c r="C38" i="2"/>
  <c r="R32" i="2"/>
  <c r="Q32" i="2"/>
  <c r="D32" i="2"/>
  <c r="P32" i="2"/>
  <c r="O32" i="2"/>
  <c r="N32" i="2"/>
  <c r="H32" i="2"/>
  <c r="E32" i="2"/>
  <c r="M32" i="2"/>
  <c r="L32" i="2"/>
  <c r="K32" i="2"/>
  <c r="J32" i="2"/>
  <c r="G32" i="2"/>
  <c r="F32" i="2"/>
  <c r="I32" i="2"/>
  <c r="C32" i="2"/>
  <c r="R31" i="2"/>
  <c r="Q31" i="2"/>
  <c r="D31" i="2"/>
  <c r="P31" i="2"/>
  <c r="O31" i="2"/>
  <c r="N31" i="2"/>
  <c r="H31" i="2"/>
  <c r="E31" i="2"/>
  <c r="M31" i="2"/>
  <c r="L31" i="2"/>
  <c r="K31" i="2"/>
  <c r="J31" i="2"/>
  <c r="G31" i="2"/>
  <c r="F31" i="2"/>
  <c r="I31" i="2"/>
  <c r="C31" i="2"/>
  <c r="R25" i="2"/>
  <c r="Q25" i="2"/>
  <c r="D25" i="2"/>
  <c r="P25" i="2"/>
  <c r="O25" i="2"/>
  <c r="N25" i="2"/>
  <c r="H25" i="2"/>
  <c r="E25" i="2"/>
  <c r="M25" i="2"/>
  <c r="L25" i="2"/>
  <c r="K25" i="2"/>
  <c r="J25" i="2"/>
  <c r="G25" i="2"/>
  <c r="F25" i="2"/>
  <c r="I25" i="2"/>
  <c r="C25" i="2"/>
  <c r="R24" i="2"/>
  <c r="Q24" i="2"/>
  <c r="D24" i="2"/>
  <c r="P24" i="2"/>
  <c r="O24" i="2"/>
  <c r="N24" i="2"/>
  <c r="H24" i="2"/>
  <c r="E24" i="2"/>
  <c r="M24" i="2"/>
  <c r="L24" i="2"/>
  <c r="K24" i="2"/>
  <c r="J24" i="2"/>
  <c r="G24" i="2"/>
  <c r="F24" i="2"/>
  <c r="I24" i="2"/>
  <c r="C24" i="2"/>
  <c r="R18" i="2"/>
  <c r="Q18" i="2"/>
  <c r="D18" i="2"/>
  <c r="P18" i="2"/>
  <c r="O18" i="2"/>
  <c r="N18" i="2"/>
  <c r="H18" i="2"/>
  <c r="E18" i="2"/>
  <c r="M18" i="2"/>
  <c r="L18" i="2"/>
  <c r="K18" i="2"/>
  <c r="J18" i="2"/>
  <c r="G18" i="2"/>
  <c r="F18" i="2"/>
  <c r="I18" i="2"/>
  <c r="C18" i="2"/>
  <c r="R17" i="2"/>
  <c r="Q17" i="2"/>
  <c r="D17" i="2"/>
  <c r="P17" i="2"/>
  <c r="O17" i="2"/>
  <c r="N17" i="2"/>
  <c r="H17" i="2"/>
  <c r="E17" i="2"/>
  <c r="M17" i="2"/>
  <c r="L17" i="2"/>
  <c r="K17" i="2"/>
  <c r="J17" i="2"/>
  <c r="G17" i="2"/>
  <c r="F17" i="2"/>
  <c r="I17" i="2"/>
  <c r="C17" i="2"/>
  <c r="R11" i="2"/>
  <c r="Q11" i="2"/>
  <c r="D11" i="2"/>
  <c r="P11" i="2"/>
  <c r="O11" i="2"/>
  <c r="N11" i="2"/>
  <c r="H11" i="2"/>
  <c r="E11" i="2"/>
  <c r="M11" i="2"/>
  <c r="L11" i="2"/>
  <c r="K11" i="2"/>
  <c r="J11" i="2"/>
  <c r="G11" i="2"/>
  <c r="F11" i="2"/>
  <c r="I11" i="2"/>
  <c r="C11" i="2"/>
  <c r="R10" i="2"/>
  <c r="Q10" i="2"/>
  <c r="D10" i="2"/>
  <c r="P10" i="2"/>
  <c r="O10" i="2"/>
  <c r="N10" i="2"/>
  <c r="H10" i="2"/>
  <c r="E10" i="2"/>
  <c r="M10" i="2"/>
  <c r="L10" i="2"/>
  <c r="K10" i="2"/>
  <c r="J10" i="2"/>
  <c r="G10" i="2"/>
  <c r="F10" i="2"/>
  <c r="I10" i="2"/>
  <c r="C10" i="2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C93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C94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C87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C86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C80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C79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C73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C72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C66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C65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C131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C123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C115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C107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C106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C130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C122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C114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C55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C52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C49" i="1"/>
  <c r="P46" i="1"/>
  <c r="Q46" i="1"/>
  <c r="R46" i="1"/>
  <c r="D46" i="1"/>
  <c r="E46" i="1"/>
  <c r="F46" i="1"/>
  <c r="G46" i="1"/>
  <c r="H46" i="1"/>
  <c r="I46" i="1"/>
  <c r="J46" i="1"/>
  <c r="K46" i="1"/>
  <c r="L46" i="1"/>
  <c r="M46" i="1"/>
  <c r="N46" i="1"/>
  <c r="O46" i="1"/>
  <c r="C46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C41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C38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C35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C32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C27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C23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C19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C15" i="1"/>
  <c r="J65" i="3" l="1"/>
  <c r="J68" i="3"/>
  <c r="J64" i="3"/>
  <c r="J67" i="3"/>
  <c r="J63" i="3"/>
  <c r="J66" i="3"/>
  <c r="J62" i="3"/>
  <c r="I62" i="3"/>
  <c r="I63" i="3"/>
  <c r="I65" i="3"/>
  <c r="I64" i="3"/>
  <c r="I66" i="3"/>
  <c r="I68" i="3"/>
  <c r="C71" i="3"/>
  <c r="H67" i="3"/>
  <c r="H63" i="3"/>
  <c r="H68" i="3"/>
  <c r="H64" i="3"/>
  <c r="H65" i="3"/>
  <c r="H66" i="3"/>
  <c r="H62" i="3"/>
  <c r="B71" i="3"/>
  <c r="G68" i="3" s="1"/>
  <c r="G63" i="3"/>
  <c r="G66" i="3"/>
  <c r="G67" i="3"/>
  <c r="E61" i="3"/>
  <c r="J58" i="3" s="1"/>
  <c r="H55" i="3"/>
  <c r="H59" i="3"/>
  <c r="I58" i="3"/>
  <c r="J56" i="3"/>
  <c r="I57" i="3"/>
  <c r="H58" i="3"/>
  <c r="J60" i="3"/>
  <c r="J55" i="3"/>
  <c r="I56" i="3"/>
  <c r="H57" i="3"/>
  <c r="J59" i="3"/>
  <c r="I60" i="3"/>
  <c r="I55" i="3"/>
  <c r="H56" i="3"/>
  <c r="G58" i="3"/>
  <c r="G57" i="3"/>
  <c r="G60" i="3"/>
  <c r="G55" i="3"/>
  <c r="G56" i="3"/>
  <c r="H36" i="3"/>
  <c r="G38" i="3"/>
  <c r="G35" i="3"/>
  <c r="F49" i="3"/>
  <c r="K42" i="3" s="1"/>
  <c r="I49" i="3"/>
  <c r="N45" i="3" s="1"/>
  <c r="F41" i="3"/>
  <c r="K36" i="3" s="1"/>
  <c r="G49" i="3"/>
  <c r="G36" i="3"/>
  <c r="G41" i="3" s="1"/>
  <c r="H39" i="3"/>
  <c r="H49" i="3"/>
  <c r="G40" i="3"/>
  <c r="H38" i="3"/>
  <c r="H37" i="3"/>
  <c r="I40" i="3"/>
  <c r="I36" i="3"/>
  <c r="G39" i="3"/>
  <c r="G65" i="3" l="1"/>
  <c r="G64" i="3"/>
  <c r="K43" i="3"/>
  <c r="K48" i="3"/>
  <c r="K45" i="3"/>
  <c r="G62" i="3"/>
  <c r="J57" i="3"/>
  <c r="K39" i="3"/>
  <c r="K40" i="3"/>
  <c r="K37" i="3"/>
  <c r="K38" i="3"/>
  <c r="K35" i="3"/>
  <c r="N43" i="3"/>
  <c r="N44" i="3"/>
  <c r="K46" i="3"/>
  <c r="L47" i="3"/>
  <c r="L43" i="3"/>
  <c r="L38" i="3"/>
  <c r="L37" i="3"/>
  <c r="N36" i="3"/>
  <c r="L45" i="3"/>
  <c r="M45" i="3"/>
  <c r="M47" i="3"/>
  <c r="M43" i="3"/>
  <c r="M46" i="3"/>
  <c r="M42" i="3"/>
  <c r="L42" i="3"/>
  <c r="L35" i="3"/>
  <c r="N46" i="3"/>
  <c r="L39" i="3"/>
  <c r="L44" i="3"/>
  <c r="N40" i="3"/>
  <c r="N47" i="3"/>
  <c r="I41" i="3"/>
  <c r="L36" i="3"/>
  <c r="L46" i="3"/>
  <c r="N42" i="3"/>
  <c r="M44" i="3"/>
  <c r="N48" i="3"/>
  <c r="L48" i="3"/>
  <c r="K47" i="3"/>
  <c r="L40" i="3"/>
  <c r="K44" i="3"/>
  <c r="H41" i="3"/>
  <c r="M48" i="3"/>
  <c r="M40" i="3" l="1"/>
  <c r="M35" i="3"/>
  <c r="M36" i="3"/>
  <c r="M38" i="3"/>
  <c r="M37" i="3"/>
  <c r="N35" i="3"/>
  <c r="N37" i="3"/>
  <c r="N39" i="3"/>
  <c r="N38" i="3"/>
  <c r="M39" i="3"/>
</calcChain>
</file>

<file path=xl/sharedStrings.xml><?xml version="1.0" encoding="utf-8"?>
<sst xmlns="http://schemas.openxmlformats.org/spreadsheetml/2006/main" count="1044" uniqueCount="172">
  <si>
    <t>Obiekty</t>
  </si>
  <si>
    <t>N g/kg</t>
  </si>
  <si>
    <t>TOC g/kg</t>
  </si>
  <si>
    <t>S g/kg</t>
  </si>
  <si>
    <t>Ca g/kg</t>
  </si>
  <si>
    <t>Cd mg/kg</t>
  </si>
  <si>
    <t>Cr mg/kg</t>
  </si>
  <si>
    <t>Cu mg/kg</t>
  </si>
  <si>
    <t>Fe g/kg</t>
  </si>
  <si>
    <t>K g/kg</t>
  </si>
  <si>
    <t>Mg g/kg</t>
  </si>
  <si>
    <t>Mn mg/kg</t>
  </si>
  <si>
    <t>Na mg/kg</t>
  </si>
  <si>
    <t>Ni mg/kg</t>
  </si>
  <si>
    <t>P g/kg</t>
  </si>
  <si>
    <t>Pb mg/kg</t>
  </si>
  <si>
    <t>Zn mg/kg</t>
  </si>
  <si>
    <t>pH H2O</t>
  </si>
  <si>
    <t>pH KCl</t>
  </si>
  <si>
    <r>
      <t xml:space="preserve">EC </t>
    </r>
    <r>
      <rPr>
        <b/>
        <sz val="11"/>
        <rFont val="Calibri"/>
        <family val="2"/>
        <charset val="238"/>
      </rPr>
      <t>µS</t>
    </r>
  </si>
  <si>
    <t>ALEKSANDRÓW OŚ</t>
  </si>
  <si>
    <t>ROZPRZA OŚ</t>
  </si>
  <si>
    <t>TUREK OŚ</t>
  </si>
  <si>
    <t>TUSZYN OŚ</t>
  </si>
  <si>
    <t>brak materiału</t>
  </si>
  <si>
    <t>ALEKSANDRÓW 29.11.21 OSAD</t>
  </si>
  <si>
    <t>ROZPRZA 29.11.21 OSAD</t>
  </si>
  <si>
    <t>TUREK 28.11.2011 OSAD</t>
  </si>
  <si>
    <t>TUSZYN 29.11.2011 OSAD</t>
  </si>
  <si>
    <t>H. incongruens śmiertelność %</t>
  </si>
  <si>
    <t>H. incogruens inhibicja wzrostu%</t>
  </si>
  <si>
    <t>Turek 10.04</t>
  </si>
  <si>
    <t>Tuszyn 10.04</t>
  </si>
  <si>
    <t>Aleksandrów 10.04</t>
  </si>
  <si>
    <t>Rozprza 10.04</t>
  </si>
  <si>
    <t>Turek 4.07</t>
  </si>
  <si>
    <t>Tuszyn 4.07</t>
  </si>
  <si>
    <t>Aleksandrów 4.07</t>
  </si>
  <si>
    <t>Rozprza 4.07</t>
  </si>
  <si>
    <t>Tuszyn 02.2022</t>
  </si>
  <si>
    <t>Turek 02.2022</t>
  </si>
  <si>
    <t>ROZPRZA 02.2022</t>
  </si>
  <si>
    <t>Aleksandrów 02.2022</t>
  </si>
  <si>
    <t>A. fischer inhibicja luminescencji po 15 min</t>
  </si>
  <si>
    <t>H. incongurens śmiertelność %</t>
  </si>
  <si>
    <t>H. incongurens inhibicja wzrostu  %</t>
  </si>
  <si>
    <t xml:space="preserve"> </t>
  </si>
  <si>
    <t>Tuszyn luty 2022 sr</t>
  </si>
  <si>
    <t>Turek luty 2022 sr</t>
  </si>
  <si>
    <t>Rozprza luty 2022 sr</t>
  </si>
  <si>
    <t>aleksan luty 2022 sr</t>
  </si>
  <si>
    <t>ROZPRZA OŚ wrzesiejn2021</t>
  </si>
  <si>
    <t>Turek kwiecień 2022 sr</t>
  </si>
  <si>
    <t>Tuszyn kwiecień 2022 sr</t>
  </si>
  <si>
    <t>Aleksandrow kwiecień 2022 sr</t>
  </si>
  <si>
    <t>Rozprza kwiecień 2022 sr</t>
  </si>
  <si>
    <t>Turek lipiec 2022 sr</t>
  </si>
  <si>
    <t>Tuszyn lipiec 2022 sr</t>
  </si>
  <si>
    <t>Aleksandrow lipiec 2022 sr</t>
  </si>
  <si>
    <t>Rozprza lipiec 2022 sr</t>
  </si>
  <si>
    <t>srednia ogolnie</t>
  </si>
  <si>
    <t>srednie</t>
  </si>
  <si>
    <t>srednia</t>
  </si>
  <si>
    <t>Rozprza lipiec 2022</t>
  </si>
  <si>
    <t>Tuszyn kwiecień 2022</t>
  </si>
  <si>
    <t>TUSZYN wrzesien 2021 OŚ</t>
  </si>
  <si>
    <t>srednie sezonowo</t>
  </si>
  <si>
    <t>średnie dla oczyszczalni</t>
  </si>
  <si>
    <t>SD</t>
  </si>
  <si>
    <t>średnia</t>
  </si>
  <si>
    <t xml:space="preserve">średnia </t>
  </si>
  <si>
    <t>SD ogolnie</t>
  </si>
  <si>
    <t>Rozprza</t>
  </si>
  <si>
    <t>Tuszyn</t>
  </si>
  <si>
    <t>Aleksandrów</t>
  </si>
  <si>
    <t>Turek</t>
  </si>
  <si>
    <t>min</t>
  </si>
  <si>
    <t>max</t>
  </si>
  <si>
    <t>mean</t>
  </si>
  <si>
    <t>median</t>
  </si>
  <si>
    <t>Rozprza (n=5)</t>
  </si>
  <si>
    <t>Tusztn (n=5)</t>
  </si>
  <si>
    <t>Aleksandrów (n=5)</t>
  </si>
  <si>
    <t>Turek (n=5)</t>
  </si>
  <si>
    <t>Aleksandrow</t>
  </si>
  <si>
    <t>MEC</t>
  </si>
  <si>
    <t>TRIMETHOPRIM [ng/g]</t>
  </si>
  <si>
    <t>Tiabendazole [ng/g]</t>
  </si>
  <si>
    <t>Ciprofloxacin [ng/g]</t>
  </si>
  <si>
    <t>Norfloxacin [ng/g]</t>
  </si>
  <si>
    <t>Tetracycline [ng/g]</t>
  </si>
  <si>
    <t>Clindamycin [ng/g]</t>
  </si>
  <si>
    <t>Ofloxacin [ng/g]</t>
  </si>
  <si>
    <t>PEC(soil)</t>
  </si>
  <si>
    <t>RQ (PEC/PNEC)</t>
  </si>
  <si>
    <t>PNEC soil (mg/kg)</t>
  </si>
  <si>
    <t>PNECwater mg/L</t>
  </si>
  <si>
    <t>PEC</t>
  </si>
  <si>
    <t>mg/kg</t>
  </si>
  <si>
    <t>PNECsoil mg/kg</t>
  </si>
  <si>
    <t>Rqenv</t>
  </si>
  <si>
    <t xml:space="preserve">Compound </t>
  </si>
  <si>
    <t>Cd</t>
  </si>
  <si>
    <t>Cr</t>
  </si>
  <si>
    <t>Cu</t>
  </si>
  <si>
    <t>Ni</t>
  </si>
  <si>
    <t>Pb</t>
  </si>
  <si>
    <t>Zn</t>
  </si>
  <si>
    <t>Trimethoprim</t>
  </si>
  <si>
    <t>Thiabendazole</t>
  </si>
  <si>
    <t>Ciprofloxacin</t>
  </si>
  <si>
    <t>Norfloxacin</t>
  </si>
  <si>
    <t>Tetracycline</t>
  </si>
  <si>
    <t>Clindamycin</t>
  </si>
  <si>
    <t>Ofloxacin</t>
  </si>
  <si>
    <t>RQ mix</t>
  </si>
  <si>
    <t>R</t>
  </si>
  <si>
    <t>Tn</t>
  </si>
  <si>
    <t>A</t>
  </si>
  <si>
    <t>Tk</t>
  </si>
  <si>
    <t>Rqmix metale</t>
  </si>
  <si>
    <t>Rqmix antybiotyki</t>
  </si>
  <si>
    <t>Percentage contribution in RQ mix</t>
  </si>
  <si>
    <t>Percentage contribution in sum of RQs</t>
  </si>
  <si>
    <t>TRIMETHOPRIM [mg/kg]</t>
  </si>
  <si>
    <t>RQ cumulative</t>
  </si>
  <si>
    <t>g/kg</t>
  </si>
  <si>
    <t>TRIMETHOPRIM</t>
  </si>
  <si>
    <t>Tiabendazole</t>
  </si>
  <si>
    <t>lokalizacja</t>
  </si>
  <si>
    <t xml:space="preserve">TRIMETHOPRIM </t>
  </si>
  <si>
    <t>RQ</t>
  </si>
  <si>
    <t>PNESC soil resistance mg/kg</t>
  </si>
  <si>
    <t>RQ resistance in soil</t>
  </si>
  <si>
    <t>R Sept</t>
  </si>
  <si>
    <t>R Nov</t>
  </si>
  <si>
    <t>R Feb</t>
  </si>
  <si>
    <t>R Apr</t>
  </si>
  <si>
    <t>R Jul</t>
  </si>
  <si>
    <t>Tn Sept</t>
  </si>
  <si>
    <t>Tn Nov</t>
  </si>
  <si>
    <t>Tn Apr</t>
  </si>
  <si>
    <t>Tn Feb</t>
  </si>
  <si>
    <t>Tn Jul</t>
  </si>
  <si>
    <t>A Sept</t>
  </si>
  <si>
    <t>A Nov</t>
  </si>
  <si>
    <t>A Feb</t>
  </si>
  <si>
    <t>A Apr</t>
  </si>
  <si>
    <t>A Jul</t>
  </si>
  <si>
    <t>Tk Sept</t>
  </si>
  <si>
    <t>Tk Nov</t>
  </si>
  <si>
    <t>Tk Feb</t>
  </si>
  <si>
    <t>Tk Apr</t>
  </si>
  <si>
    <t>Tk Jul</t>
  </si>
  <si>
    <t>PNEC mix metals</t>
  </si>
  <si>
    <t>PNECmix antibiotics</t>
  </si>
  <si>
    <t>RQ mix antibiotics</t>
  </si>
  <si>
    <t>PEC - probable environmental concentration</t>
  </si>
  <si>
    <t>stezenie osady w mg/kg</t>
  </si>
  <si>
    <t>stezenie w glebie w mg/kg</t>
  </si>
  <si>
    <t>Average</t>
  </si>
  <si>
    <t>stezenie w glebie w ng/g</t>
  </si>
  <si>
    <t>MEC mg/kg</t>
  </si>
  <si>
    <t>PEC mg/kg</t>
  </si>
  <si>
    <t>RQmix</t>
  </si>
  <si>
    <t>RQmix-antibiotics</t>
  </si>
  <si>
    <t>RQcumualtive</t>
  </si>
  <si>
    <t>RQind</t>
  </si>
  <si>
    <t xml:space="preserve">Trimethoprim </t>
  </si>
  <si>
    <t>TRIMETHOPRIM [ng/g]=ug/kg</t>
  </si>
  <si>
    <t>average seasons</t>
  </si>
  <si>
    <t>average for WWTP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</si>
</sst>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"/>
    <numFmt numFmtId="165" formatCode="0.0000"/>
    <numFmt numFmtId="166" formatCode="0.000000"/>
    <numFmt numFmtId="167" formatCode="0.00000"/>
    <numFmt numFmtId="168" formatCode="0.0000000"/>
    <numFmt numFmtId="169" formatCode="0.0000000000"/>
    <numFmt numFmtId="170" formatCode="0.000000000000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97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0" xfId="0" applyFont="1" applyFill="1" applyAlignment="1">
      <alignment horizontal="center"/>
    </xf>
    <xf numFmtId="2" fontId="7" fillId="0" borderId="0" xfId="1" applyNumberFormat="1" applyFont="1" applyAlignment="1">
      <alignment horizontal="right" vertical="center"/>
    </xf>
    <xf numFmtId="0" fontId="0" fillId="0" borderId="0" xfId="0" applyAlignment="1">
      <alignment horizontal="center"/>
    </xf>
    <xf numFmtId="0" fontId="7" fillId="3" borderId="0" xfId="1" applyFont="1" applyFill="1" applyAlignment="1">
      <alignment horizontal="left" vertical="center"/>
    </xf>
    <xf numFmtId="0" fontId="7" fillId="4" borderId="0" xfId="1" applyFont="1" applyFill="1" applyAlignment="1">
      <alignment horizontal="left" vertical="center"/>
    </xf>
    <xf numFmtId="0" fontId="8" fillId="0" borderId="0" xfId="0" applyFont="1"/>
    <xf numFmtId="0" fontId="0" fillId="0" borderId="0" xfId="0" applyAlignment="1">
      <alignment wrapText="1"/>
    </xf>
    <xf numFmtId="2" fontId="0" fillId="0" borderId="0" xfId="0" applyNumberFormat="1"/>
    <xf numFmtId="1" fontId="0" fillId="0" borderId="0" xfId="0" applyNumberFormat="1"/>
    <xf numFmtId="0" fontId="7" fillId="0" borderId="1" xfId="1" applyFont="1" applyBorder="1" applyAlignment="1">
      <alignment horizontal="left" vertical="center"/>
    </xf>
    <xf numFmtId="164" fontId="0" fillId="0" borderId="2" xfId="0" applyNumberFormat="1" applyBorder="1"/>
    <xf numFmtId="2" fontId="0" fillId="0" borderId="2" xfId="0" applyNumberFormat="1" applyBorder="1"/>
    <xf numFmtId="2" fontId="0" fillId="0" borderId="3" xfId="0" applyNumberFormat="1" applyBorder="1"/>
    <xf numFmtId="0" fontId="7" fillId="0" borderId="4" xfId="1" applyFont="1" applyBorder="1" applyAlignment="1">
      <alignment horizontal="left" vertical="center"/>
    </xf>
    <xf numFmtId="164" fontId="0" fillId="0" borderId="0" xfId="0" applyNumberFormat="1"/>
    <xf numFmtId="2" fontId="0" fillId="0" borderId="5" xfId="0" applyNumberFormat="1" applyBorder="1"/>
    <xf numFmtId="0" fontId="0" fillId="0" borderId="4" xfId="0" applyBorder="1"/>
    <xf numFmtId="0" fontId="7" fillId="0" borderId="6" xfId="1" applyFont="1" applyBorder="1" applyAlignment="1">
      <alignment horizontal="left" vertical="center"/>
    </xf>
    <xf numFmtId="164" fontId="0" fillId="0" borderId="7" xfId="0" applyNumberFormat="1" applyBorder="1"/>
    <xf numFmtId="2" fontId="0" fillId="0" borderId="7" xfId="0" applyNumberFormat="1" applyBorder="1"/>
    <xf numFmtId="2" fontId="0" fillId="0" borderId="8" xfId="0" applyNumberFormat="1" applyBorder="1"/>
    <xf numFmtId="0" fontId="7" fillId="0" borderId="0" xfId="1" applyFont="1" applyAlignment="1">
      <alignment horizontal="left" vertical="center"/>
    </xf>
    <xf numFmtId="0" fontId="1" fillId="0" borderId="0" xfId="0" applyFont="1"/>
    <xf numFmtId="0" fontId="0" fillId="5" borderId="0" xfId="0" applyFill="1"/>
    <xf numFmtId="164" fontId="0" fillId="3" borderId="0" xfId="0" applyNumberFormat="1" applyFill="1"/>
    <xf numFmtId="0" fontId="7" fillId="3" borderId="4" xfId="1" applyFont="1" applyFill="1" applyBorder="1" applyAlignment="1">
      <alignment horizontal="left" vertical="center"/>
    </xf>
    <xf numFmtId="0" fontId="0" fillId="3" borderId="4" xfId="0" applyFill="1" applyBorder="1"/>
    <xf numFmtId="2" fontId="7" fillId="3" borderId="0" xfId="1" applyNumberFormat="1" applyFont="1" applyFill="1" applyAlignment="1">
      <alignment horizontal="right" vertical="center"/>
    </xf>
    <xf numFmtId="0" fontId="0" fillId="6" borderId="0" xfId="0" applyFill="1"/>
    <xf numFmtId="2" fontId="2" fillId="0" borderId="0" xfId="0" applyNumberFormat="1" applyFont="1"/>
    <xf numFmtId="2" fontId="2" fillId="7" borderId="0" xfId="0" applyNumberFormat="1" applyFont="1" applyFill="1"/>
    <xf numFmtId="0" fontId="0" fillId="7" borderId="0" xfId="0" applyFill="1"/>
    <xf numFmtId="0" fontId="2" fillId="7" borderId="0" xfId="0" applyFont="1" applyFill="1"/>
    <xf numFmtId="0" fontId="0" fillId="8" borderId="0" xfId="0" applyFill="1"/>
    <xf numFmtId="0" fontId="10" fillId="3" borderId="0" xfId="0" applyFont="1" applyFill="1"/>
    <xf numFmtId="0" fontId="0" fillId="9" borderId="0" xfId="0" applyFill="1"/>
    <xf numFmtId="0" fontId="0" fillId="0" borderId="9" xfId="0" applyBorder="1"/>
    <xf numFmtId="2" fontId="2" fillId="0" borderId="9" xfId="0" applyNumberFormat="1" applyFont="1" applyBorder="1"/>
    <xf numFmtId="2" fontId="9" fillId="0" borderId="9" xfId="0" applyNumberFormat="1" applyFont="1" applyBorder="1"/>
    <xf numFmtId="2" fontId="4" fillId="0" borderId="9" xfId="0" applyNumberFormat="1" applyFont="1" applyBorder="1"/>
    <xf numFmtId="2" fontId="11" fillId="0" borderId="0" xfId="0" applyNumberFormat="1" applyFont="1"/>
    <xf numFmtId="0" fontId="12" fillId="0" borderId="0" xfId="1" applyFont="1" applyAlignment="1">
      <alignment horizontal="left" vertical="center"/>
    </xf>
    <xf numFmtId="2" fontId="12" fillId="0" borderId="0" xfId="1" applyNumberFormat="1" applyFont="1" applyAlignment="1">
      <alignment horizontal="right" vertical="center"/>
    </xf>
    <xf numFmtId="0" fontId="2" fillId="0" borderId="9" xfId="0" applyFont="1" applyBorder="1"/>
    <xf numFmtId="0" fontId="4" fillId="0" borderId="9" xfId="0" applyFont="1" applyBorder="1"/>
    <xf numFmtId="2" fontId="0" fillId="0" borderId="9" xfId="0" applyNumberFormat="1" applyBorder="1"/>
    <xf numFmtId="0" fontId="3" fillId="0" borderId="9" xfId="0" applyFont="1" applyBorder="1"/>
    <xf numFmtId="165" fontId="0" fillId="0" borderId="0" xfId="0" applyNumberFormat="1"/>
    <xf numFmtId="0" fontId="2" fillId="10" borderId="0" xfId="0" applyFont="1" applyFill="1"/>
    <xf numFmtId="0" fontId="2" fillId="11" borderId="0" xfId="0" applyFont="1" applyFill="1"/>
    <xf numFmtId="0" fontId="2" fillId="11" borderId="9" xfId="0" applyFont="1" applyFill="1" applyBorder="1"/>
    <xf numFmtId="165" fontId="0" fillId="2" borderId="0" xfId="0" applyNumberFormat="1" applyFill="1"/>
    <xf numFmtId="0" fontId="2" fillId="7" borderId="9" xfId="0" applyFont="1" applyFill="1" applyBorder="1"/>
    <xf numFmtId="2" fontId="0" fillId="7" borderId="9" xfId="0" applyNumberFormat="1" applyFill="1" applyBorder="1"/>
    <xf numFmtId="165" fontId="0" fillId="7" borderId="0" xfId="0" applyNumberFormat="1" applyFill="1"/>
    <xf numFmtId="0" fontId="2" fillId="0" borderId="10" xfId="0" applyFont="1" applyBorder="1"/>
    <xf numFmtId="2" fontId="0" fillId="0" borderId="10" xfId="0" applyNumberFormat="1" applyBorder="1"/>
    <xf numFmtId="2" fontId="2" fillId="0" borderId="11" xfId="0" applyNumberFormat="1" applyFont="1" applyBorder="1"/>
    <xf numFmtId="2" fontId="0" fillId="0" borderId="11" xfId="0" applyNumberFormat="1" applyBorder="1"/>
    <xf numFmtId="0" fontId="0" fillId="7" borderId="9" xfId="0" applyFill="1" applyBorder="1"/>
    <xf numFmtId="165" fontId="0" fillId="7" borderId="9" xfId="0" applyNumberFormat="1" applyFill="1" applyBorder="1"/>
    <xf numFmtId="0" fontId="9" fillId="0" borderId="0" xfId="0" applyFont="1"/>
    <xf numFmtId="166" fontId="0" fillId="0" borderId="9" xfId="0" applyNumberFormat="1" applyBorder="1"/>
    <xf numFmtId="165" fontId="0" fillId="0" borderId="9" xfId="0" applyNumberFormat="1" applyBorder="1"/>
    <xf numFmtId="0" fontId="13" fillId="7" borderId="0" xfId="0" applyFont="1" applyFill="1"/>
    <xf numFmtId="0" fontId="9" fillId="7" borderId="0" xfId="0" applyFont="1" applyFill="1"/>
    <xf numFmtId="0" fontId="2" fillId="0" borderId="11" xfId="0" applyFont="1" applyBorder="1"/>
    <xf numFmtId="167" fontId="0" fillId="0" borderId="0" xfId="0" applyNumberFormat="1"/>
    <xf numFmtId="2" fontId="14" fillId="0" borderId="0" xfId="0" applyNumberFormat="1" applyFont="1"/>
    <xf numFmtId="165" fontId="9" fillId="0" borderId="0" xfId="0" applyNumberFormat="1" applyFont="1"/>
    <xf numFmtId="165" fontId="2" fillId="0" borderId="9" xfId="0" applyNumberFormat="1" applyFont="1" applyBorder="1"/>
    <xf numFmtId="165" fontId="2" fillId="0" borderId="0" xfId="0" applyNumberFormat="1" applyFont="1"/>
    <xf numFmtId="2" fontId="0" fillId="0" borderId="12" xfId="0" applyNumberFormat="1" applyBorder="1"/>
    <xf numFmtId="0" fontId="2" fillId="0" borderId="13" xfId="0" applyFont="1" applyBorder="1"/>
    <xf numFmtId="0" fontId="9" fillId="0" borderId="13" xfId="0" applyFont="1" applyBorder="1"/>
    <xf numFmtId="11" fontId="0" fillId="0" borderId="0" xfId="0" applyNumberFormat="1"/>
    <xf numFmtId="169" fontId="0" fillId="0" borderId="0" xfId="0" applyNumberFormat="1"/>
    <xf numFmtId="170" fontId="0" fillId="0" borderId="0" xfId="0" applyNumberFormat="1"/>
    <xf numFmtId="166" fontId="9" fillId="0" borderId="0" xfId="0" applyNumberFormat="1" applyFont="1"/>
    <xf numFmtId="168" fontId="9" fillId="0" borderId="0" xfId="0" applyNumberFormat="1" applyFont="1"/>
    <xf numFmtId="2" fontId="0" fillId="12" borderId="2" xfId="0" applyNumberFormat="1" applyFill="1" applyBorder="1"/>
    <xf numFmtId="2" fontId="0" fillId="12" borderId="0" xfId="0" applyNumberFormat="1" applyFill="1"/>
    <xf numFmtId="2" fontId="0" fillId="13" borderId="0" xfId="0" applyNumberFormat="1" applyFill="1"/>
    <xf numFmtId="2" fontId="0" fillId="8" borderId="0" xfId="0" applyNumberFormat="1" applyFill="1"/>
    <xf numFmtId="2" fontId="0" fillId="14" borderId="0" xfId="0" applyNumberFormat="1" applyFill="1"/>
    <xf numFmtId="2" fontId="0" fillId="14" borderId="7" xfId="0" applyNumberFormat="1" applyFill="1" applyBorder="1"/>
    <xf numFmtId="0" fontId="1" fillId="10" borderId="0" xfId="0" applyFont="1" applyFill="1"/>
    <xf numFmtId="0" fontId="9" fillId="10" borderId="0" xfId="0" applyFont="1" applyFill="1"/>
    <xf numFmtId="11" fontId="2" fillId="0" borderId="0" xfId="0" applyNumberFormat="1" applyFont="1"/>
    <xf numFmtId="0" fontId="9" fillId="10" borderId="12" xfId="0" applyFont="1" applyFill="1" applyBorder="1"/>
    <xf numFmtId="11" fontId="0" fillId="15" borderId="0" xfId="0" applyNumberFormat="1" applyFill="1"/>
    <xf numFmtId="11" fontId="0" fillId="11" borderId="0" xfId="0" applyNumberFormat="1" applyFill="1"/>
    <xf numFmtId="9" fontId="0" fillId="0" borderId="0" xfId="0" applyNumberFormat="1"/>
    <xf numFmtId="17" fontId="0" fillId="0" borderId="0" xfId="0" applyNumberFormat="1"/>
  </cellXfs>
  <cellStyles count="2">
    <cellStyle name="Normalny" xfId="0" builtinId="0"/>
    <cellStyle name="Normalny_wyniki_last" xfId="1" xr:uid="{B01BDD4A-1AFB-4114-A196-E849CB787CAA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580927384077"/>
          <c:y val="8.5613517060367447E-2"/>
          <c:w val="0.87597462817147864"/>
          <c:h val="0.63645904606751746"/>
        </c:manualLayout>
      </c:layout>
      <c:barChart>
        <c:barDir val="col"/>
        <c:grouping val="clustered"/>
        <c:varyColors val="0"/>
        <c:ser>
          <c:idx val="0"/>
          <c:order val="0"/>
          <c:tx>
            <c:v>I klasa OŚ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'dataset-metals'!$C$96:$R$96</c:f>
                <c:numCache>
                  <c:formatCode>General</c:formatCode>
                  <c:ptCount val="16"/>
                  <c:pt idx="0">
                    <c:v>19.319001927518201</c:v>
                  </c:pt>
                  <c:pt idx="1">
                    <c:v>3.480752004225673</c:v>
                  </c:pt>
                  <c:pt idx="2">
                    <c:v>1.6377681594576048</c:v>
                  </c:pt>
                  <c:pt idx="3">
                    <c:v>23.102918920939562</c:v>
                  </c:pt>
                  <c:pt idx="4">
                    <c:v>72.185304632070384</c:v>
                  </c:pt>
                  <c:pt idx="5">
                    <c:v>12.353227155895421</c:v>
                  </c:pt>
                  <c:pt idx="6">
                    <c:v>236.84620135725223</c:v>
                  </c:pt>
                  <c:pt idx="7">
                    <c:v>2.7780998171453475</c:v>
                  </c:pt>
                  <c:pt idx="8">
                    <c:v>17.04369140849818</c:v>
                  </c:pt>
                  <c:pt idx="9">
                    <c:v>70.493672363207978</c:v>
                  </c:pt>
                  <c:pt idx="10">
                    <c:v>53.441084239042368</c:v>
                  </c:pt>
                  <c:pt idx="11">
                    <c:v>47.588549467000838</c:v>
                  </c:pt>
                  <c:pt idx="12">
                    <c:v>336.47597349582537</c:v>
                  </c:pt>
                  <c:pt idx="13">
                    <c:v>429.90013260762726</c:v>
                  </c:pt>
                  <c:pt idx="14">
                    <c:v>10.411400609992207</c:v>
                  </c:pt>
                  <c:pt idx="15">
                    <c:v>383.21393437510233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'dataset-metals'!$C$91:$R$91</c:f>
              <c:strCache>
                <c:ptCount val="16"/>
                <c:pt idx="0">
                  <c:v>N g/kg</c:v>
                </c:pt>
                <c:pt idx="1">
                  <c:v>P g/kg</c:v>
                </c:pt>
                <c:pt idx="2">
                  <c:v>K g/kg</c:v>
                </c:pt>
                <c:pt idx="3">
                  <c:v>S g/kg</c:v>
                </c:pt>
                <c:pt idx="4">
                  <c:v>Ca g/kg</c:v>
                </c:pt>
                <c:pt idx="5">
                  <c:v>Mg g/kg</c:v>
                </c:pt>
                <c:pt idx="6">
                  <c:v>TOC g/kg</c:v>
                </c:pt>
                <c:pt idx="7">
                  <c:v>Cd mg/kg</c:v>
                </c:pt>
                <c:pt idx="8">
                  <c:v>Cr mg/kg</c:v>
                </c:pt>
                <c:pt idx="9">
                  <c:v>Cu mg/kg</c:v>
                </c:pt>
                <c:pt idx="10">
                  <c:v>Fe g/kg</c:v>
                </c:pt>
                <c:pt idx="11">
                  <c:v>Mn mg/kg</c:v>
                </c:pt>
                <c:pt idx="12">
                  <c:v>Na mg/kg</c:v>
                </c:pt>
                <c:pt idx="13">
                  <c:v>Ni mg/kg</c:v>
                </c:pt>
                <c:pt idx="14">
                  <c:v>Pb mg/kg</c:v>
                </c:pt>
                <c:pt idx="15">
                  <c:v>Zn mg/kg</c:v>
                </c:pt>
              </c:strCache>
            </c:strRef>
          </c:cat>
          <c:val>
            <c:numRef>
              <c:f>'dataset-metals'!$C$94:$R$94</c:f>
              <c:numCache>
                <c:formatCode>0.00</c:formatCode>
                <c:ptCount val="16"/>
                <c:pt idx="0">
                  <c:v>28.50760561644298</c:v>
                </c:pt>
                <c:pt idx="1">
                  <c:v>6.651516321141739</c:v>
                </c:pt>
                <c:pt idx="2">
                  <c:v>2.0626320994494103</c:v>
                </c:pt>
                <c:pt idx="3">
                  <c:v>23.060138079641924</c:v>
                </c:pt>
                <c:pt idx="4">
                  <c:v>71.777135635783196</c:v>
                </c:pt>
                <c:pt idx="5">
                  <c:v>11.881154862999253</c:v>
                </c:pt>
                <c:pt idx="6">
                  <c:v>186.42032763068502</c:v>
                </c:pt>
                <c:pt idx="7">
                  <c:v>3.0704904571472982</c:v>
                </c:pt>
                <c:pt idx="8">
                  <c:v>17.688563199298457</c:v>
                </c:pt>
                <c:pt idx="9">
                  <c:v>79.683650324694469</c:v>
                </c:pt>
                <c:pt idx="10">
                  <c:v>43.922918127935496</c:v>
                </c:pt>
                <c:pt idx="11">
                  <c:v>59.541066924091965</c:v>
                </c:pt>
                <c:pt idx="12">
                  <c:v>365.42000554154362</c:v>
                </c:pt>
                <c:pt idx="13">
                  <c:v>328.05843319044652</c:v>
                </c:pt>
                <c:pt idx="14">
                  <c:v>14.5479407752612</c:v>
                </c:pt>
                <c:pt idx="15">
                  <c:v>418.70847642887372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B3-498D-9B21-016215328AEF}"/>
            </c:ext>
          </c:extLst>
        </c:ser>
        <c:ser>
          <c:idx val="1"/>
          <c:order val="1"/>
          <c:tx>
            <c:v>II klasa OŚ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'dataset-metals'!$C$102:$R$102</c:f>
                <c:numCache>
                  <c:formatCode>General</c:formatCode>
                  <c:ptCount val="16"/>
                  <c:pt idx="0">
                    <c:v>77.016378202379897</c:v>
                  </c:pt>
                  <c:pt idx="1">
                    <c:v>3.5920036227027934</c:v>
                  </c:pt>
                  <c:pt idx="2">
                    <c:v>1.5775101758169503</c:v>
                  </c:pt>
                  <c:pt idx="3">
                    <c:v>10.255349205883091</c:v>
                  </c:pt>
                  <c:pt idx="4">
                    <c:v>17.103087735312602</c:v>
                  </c:pt>
                  <c:pt idx="5">
                    <c:v>4.7169216577175384</c:v>
                  </c:pt>
                  <c:pt idx="6">
                    <c:v>144.12872773926966</c:v>
                  </c:pt>
                  <c:pt idx="7">
                    <c:v>2.1868840730646704</c:v>
                  </c:pt>
                  <c:pt idx="8">
                    <c:v>10.640195490794392</c:v>
                  </c:pt>
                  <c:pt idx="9">
                    <c:v>59.041263181849111</c:v>
                  </c:pt>
                  <c:pt idx="10">
                    <c:v>111.56742140926174</c:v>
                  </c:pt>
                  <c:pt idx="11">
                    <c:v>111.75179314619473</c:v>
                  </c:pt>
                  <c:pt idx="12">
                    <c:v>351.7438536550589</c:v>
                  </c:pt>
                  <c:pt idx="13">
                    <c:v>215.07271444463493</c:v>
                  </c:pt>
                  <c:pt idx="14">
                    <c:v>2.5346211340827742</c:v>
                  </c:pt>
                  <c:pt idx="15">
                    <c:v>155.23756384822022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'dataset-metals'!$C$91:$R$91</c:f>
              <c:strCache>
                <c:ptCount val="16"/>
                <c:pt idx="0">
                  <c:v>N g/kg</c:v>
                </c:pt>
                <c:pt idx="1">
                  <c:v>P g/kg</c:v>
                </c:pt>
                <c:pt idx="2">
                  <c:v>K g/kg</c:v>
                </c:pt>
                <c:pt idx="3">
                  <c:v>S g/kg</c:v>
                </c:pt>
                <c:pt idx="4">
                  <c:v>Ca g/kg</c:v>
                </c:pt>
                <c:pt idx="5">
                  <c:v>Mg g/kg</c:v>
                </c:pt>
                <c:pt idx="6">
                  <c:v>TOC g/kg</c:v>
                </c:pt>
                <c:pt idx="7">
                  <c:v>Cd mg/kg</c:v>
                </c:pt>
                <c:pt idx="8">
                  <c:v>Cr mg/kg</c:v>
                </c:pt>
                <c:pt idx="9">
                  <c:v>Cu mg/kg</c:v>
                </c:pt>
                <c:pt idx="10">
                  <c:v>Fe g/kg</c:v>
                </c:pt>
                <c:pt idx="11">
                  <c:v>Mn mg/kg</c:v>
                </c:pt>
                <c:pt idx="12">
                  <c:v>Na mg/kg</c:v>
                </c:pt>
                <c:pt idx="13">
                  <c:v>Ni mg/kg</c:v>
                </c:pt>
                <c:pt idx="14">
                  <c:v>Pb mg/kg</c:v>
                </c:pt>
                <c:pt idx="15">
                  <c:v>Zn mg/kg</c:v>
                </c:pt>
              </c:strCache>
            </c:strRef>
          </c:cat>
          <c:val>
            <c:numRef>
              <c:f>'dataset-metals'!$C$100:$R$100</c:f>
              <c:numCache>
                <c:formatCode>0.00</c:formatCode>
                <c:ptCount val="16"/>
                <c:pt idx="0">
                  <c:v>81.447561734691334</c:v>
                </c:pt>
                <c:pt idx="1">
                  <c:v>9.9662669218663122</c:v>
                </c:pt>
                <c:pt idx="2">
                  <c:v>2.4476120762426499</c:v>
                </c:pt>
                <c:pt idx="3">
                  <c:v>9.809196239814348</c:v>
                </c:pt>
                <c:pt idx="4">
                  <c:v>113.60627575583655</c:v>
                </c:pt>
                <c:pt idx="5">
                  <c:v>7.2191046705361561</c:v>
                </c:pt>
                <c:pt idx="6">
                  <c:v>115.15646841274361</c:v>
                </c:pt>
                <c:pt idx="7">
                  <c:v>2.1225538713230105</c:v>
                </c:pt>
                <c:pt idx="8">
                  <c:v>12.579464135900722</c:v>
                </c:pt>
                <c:pt idx="9">
                  <c:v>68.460265798198932</c:v>
                </c:pt>
                <c:pt idx="10">
                  <c:v>84.585237842439568</c:v>
                </c:pt>
                <c:pt idx="11">
                  <c:v>133.23137426468821</c:v>
                </c:pt>
                <c:pt idx="12">
                  <c:v>380.02746082982941</c:v>
                </c:pt>
                <c:pt idx="13">
                  <c:v>157.94729326224757</c:v>
                </c:pt>
                <c:pt idx="14">
                  <c:v>11.088203699475933</c:v>
                </c:pt>
                <c:pt idx="15">
                  <c:v>174.61315602709666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B3-498D-9B21-016215328AEF}"/>
            </c:ext>
          </c:extLst>
        </c:ser>
        <c:ser>
          <c:idx val="2"/>
          <c:order val="2"/>
          <c:tx>
            <c:v>III klasa OŚ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'dataset-metals'!$C$108:$R$108</c:f>
                <c:numCache>
                  <c:formatCode>General</c:formatCode>
                  <c:ptCount val="16"/>
                  <c:pt idx="0">
                    <c:v>18.294963607135362</c:v>
                  </c:pt>
                  <c:pt idx="1">
                    <c:v>11.850047585244853</c:v>
                  </c:pt>
                  <c:pt idx="2">
                    <c:v>0.97692799638638328</c:v>
                  </c:pt>
                  <c:pt idx="3">
                    <c:v>42.64172175750484</c:v>
                  </c:pt>
                  <c:pt idx="4">
                    <c:v>121.89938554398137</c:v>
                  </c:pt>
                  <c:pt idx="5">
                    <c:v>19.706270356094652</c:v>
                  </c:pt>
                  <c:pt idx="6">
                    <c:v>155.48259956892952</c:v>
                  </c:pt>
                  <c:pt idx="7">
                    <c:v>20.510772983734427</c:v>
                  </c:pt>
                  <c:pt idx="8">
                    <c:v>34.352230744233538</c:v>
                  </c:pt>
                  <c:pt idx="9">
                    <c:v>124.30363030449476</c:v>
                  </c:pt>
                  <c:pt idx="10">
                    <c:v>304.92393318410956</c:v>
                  </c:pt>
                  <c:pt idx="11">
                    <c:v>144.20366707621139</c:v>
                  </c:pt>
                  <c:pt idx="12">
                    <c:v>542.9737339544846</c:v>
                  </c:pt>
                  <c:pt idx="13">
                    <c:v>958.04129483289478</c:v>
                  </c:pt>
                  <c:pt idx="14">
                    <c:v>21.415429128763467</c:v>
                  </c:pt>
                  <c:pt idx="15">
                    <c:v>658.85433276488789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'dataset-metals'!$C$91:$R$91</c:f>
              <c:strCache>
                <c:ptCount val="16"/>
                <c:pt idx="0">
                  <c:v>N g/kg</c:v>
                </c:pt>
                <c:pt idx="1">
                  <c:v>P g/kg</c:v>
                </c:pt>
                <c:pt idx="2">
                  <c:v>K g/kg</c:v>
                </c:pt>
                <c:pt idx="3">
                  <c:v>S g/kg</c:v>
                </c:pt>
                <c:pt idx="4">
                  <c:v>Ca g/kg</c:v>
                </c:pt>
                <c:pt idx="5">
                  <c:v>Mg g/kg</c:v>
                </c:pt>
                <c:pt idx="6">
                  <c:v>TOC g/kg</c:v>
                </c:pt>
                <c:pt idx="7">
                  <c:v>Cd mg/kg</c:v>
                </c:pt>
                <c:pt idx="8">
                  <c:v>Cr mg/kg</c:v>
                </c:pt>
                <c:pt idx="9">
                  <c:v>Cu mg/kg</c:v>
                </c:pt>
                <c:pt idx="10">
                  <c:v>Fe g/kg</c:v>
                </c:pt>
                <c:pt idx="11">
                  <c:v>Mn mg/kg</c:v>
                </c:pt>
                <c:pt idx="12">
                  <c:v>Na mg/kg</c:v>
                </c:pt>
                <c:pt idx="13">
                  <c:v>Ni mg/kg</c:v>
                </c:pt>
                <c:pt idx="14">
                  <c:v>Pb mg/kg</c:v>
                </c:pt>
                <c:pt idx="15">
                  <c:v>Zn mg/kg</c:v>
                </c:pt>
              </c:strCache>
            </c:strRef>
          </c:cat>
          <c:val>
            <c:numRef>
              <c:f>'dataset-metals'!$C$106:$R$106</c:f>
              <c:numCache>
                <c:formatCode>0.00</c:formatCode>
                <c:ptCount val="16"/>
                <c:pt idx="0">
                  <c:v>33.409316215677606</c:v>
                </c:pt>
                <c:pt idx="1">
                  <c:v>15.725790076431068</c:v>
                </c:pt>
                <c:pt idx="2">
                  <c:v>2.0882257653431386</c:v>
                </c:pt>
                <c:pt idx="3">
                  <c:v>38.70597651168768</c:v>
                </c:pt>
                <c:pt idx="4">
                  <c:v>117.72786673173782</c:v>
                </c:pt>
                <c:pt idx="5">
                  <c:v>20.846620423230899</c:v>
                </c:pt>
                <c:pt idx="6">
                  <c:v>123.76580672480108</c:v>
                </c:pt>
                <c:pt idx="7">
                  <c:v>16.5773841956076</c:v>
                </c:pt>
                <c:pt idx="8">
                  <c:v>37.864558734890139</c:v>
                </c:pt>
                <c:pt idx="9">
                  <c:v>142.03287401355851</c:v>
                </c:pt>
                <c:pt idx="10">
                  <c:v>246.26705291802332</c:v>
                </c:pt>
                <c:pt idx="11">
                  <c:v>188.78686080639312</c:v>
                </c:pt>
                <c:pt idx="12">
                  <c:v>663.62780003464388</c:v>
                </c:pt>
                <c:pt idx="13">
                  <c:v>667.33369198464425</c:v>
                </c:pt>
                <c:pt idx="14">
                  <c:v>29.039916854390061</c:v>
                </c:pt>
                <c:pt idx="15">
                  <c:v>725.9523593886089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B3-498D-9B21-016215328AEF}"/>
            </c:ext>
          </c:extLst>
        </c:ser>
        <c:ser>
          <c:idx val="3"/>
          <c:order val="3"/>
          <c:tx>
            <c:v>IV klasa OŚ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'dataset-metals'!$C$114:$R$114</c:f>
                <c:numCache>
                  <c:formatCode>General</c:formatCode>
                  <c:ptCount val="16"/>
                  <c:pt idx="0">
                    <c:v>18.204432557655473</c:v>
                  </c:pt>
                  <c:pt idx="1">
                    <c:v>8.8089115281446517</c:v>
                  </c:pt>
                  <c:pt idx="2">
                    <c:v>1.1227985863910028</c:v>
                  </c:pt>
                  <c:pt idx="3">
                    <c:v>25.968741938550757</c:v>
                  </c:pt>
                  <c:pt idx="4">
                    <c:v>99.822415848631536</c:v>
                  </c:pt>
                  <c:pt idx="5">
                    <c:v>20.801285968258885</c:v>
                  </c:pt>
                  <c:pt idx="6">
                    <c:v>226.11283551139104</c:v>
                  </c:pt>
                  <c:pt idx="7">
                    <c:v>3.936703311249679</c:v>
                  </c:pt>
                  <c:pt idx="8">
                    <c:v>26.432269449598977</c:v>
                  </c:pt>
                  <c:pt idx="9">
                    <c:v>96.073830433462504</c:v>
                  </c:pt>
                  <c:pt idx="10">
                    <c:v>58.910531226346613</c:v>
                  </c:pt>
                  <c:pt idx="11">
                    <c:v>34.911659995838541</c:v>
                  </c:pt>
                  <c:pt idx="12">
                    <c:v>967.05061198521969</c:v>
                  </c:pt>
                  <c:pt idx="13">
                    <c:v>547.1466290242472</c:v>
                  </c:pt>
                  <c:pt idx="14">
                    <c:v>6.7191174754869101</c:v>
                  </c:pt>
                  <c:pt idx="15">
                    <c:v>463.81750382810594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'dataset-metals'!$C$91:$R$91</c:f>
              <c:strCache>
                <c:ptCount val="16"/>
                <c:pt idx="0">
                  <c:v>N g/kg</c:v>
                </c:pt>
                <c:pt idx="1">
                  <c:v>P g/kg</c:v>
                </c:pt>
                <c:pt idx="2">
                  <c:v>K g/kg</c:v>
                </c:pt>
                <c:pt idx="3">
                  <c:v>S g/kg</c:v>
                </c:pt>
                <c:pt idx="4">
                  <c:v>Ca g/kg</c:v>
                </c:pt>
                <c:pt idx="5">
                  <c:v>Mg g/kg</c:v>
                </c:pt>
                <c:pt idx="6">
                  <c:v>TOC g/kg</c:v>
                </c:pt>
                <c:pt idx="7">
                  <c:v>Cd mg/kg</c:v>
                </c:pt>
                <c:pt idx="8">
                  <c:v>Cr mg/kg</c:v>
                </c:pt>
                <c:pt idx="9">
                  <c:v>Cu mg/kg</c:v>
                </c:pt>
                <c:pt idx="10">
                  <c:v>Fe g/kg</c:v>
                </c:pt>
                <c:pt idx="11">
                  <c:v>Mn mg/kg</c:v>
                </c:pt>
                <c:pt idx="12">
                  <c:v>Na mg/kg</c:v>
                </c:pt>
                <c:pt idx="13">
                  <c:v>Ni mg/kg</c:v>
                </c:pt>
                <c:pt idx="14">
                  <c:v>Pb mg/kg</c:v>
                </c:pt>
                <c:pt idx="15">
                  <c:v>Zn mg/kg</c:v>
                </c:pt>
              </c:strCache>
            </c:strRef>
          </c:cat>
          <c:val>
            <c:numRef>
              <c:f>'dataset-metals'!$C$112:$R$112</c:f>
              <c:numCache>
                <c:formatCode>0.00</c:formatCode>
                <c:ptCount val="16"/>
                <c:pt idx="0">
                  <c:v>36.532186021233869</c:v>
                </c:pt>
                <c:pt idx="1">
                  <c:v>11.981491744631958</c:v>
                </c:pt>
                <c:pt idx="2">
                  <c:v>3.2344926460465411</c:v>
                </c:pt>
                <c:pt idx="3">
                  <c:v>31.582422097534256</c:v>
                </c:pt>
                <c:pt idx="4">
                  <c:v>102.60262031965343</c:v>
                </c:pt>
                <c:pt idx="5">
                  <c:v>18.58174494181479</c:v>
                </c:pt>
                <c:pt idx="6">
                  <c:v>178.28804741585813</c:v>
                </c:pt>
                <c:pt idx="7">
                  <c:v>3.6082595795284802</c:v>
                </c:pt>
                <c:pt idx="8">
                  <c:v>31.722282719962209</c:v>
                </c:pt>
                <c:pt idx="9">
                  <c:v>110.89352976867795</c:v>
                </c:pt>
                <c:pt idx="10">
                  <c:v>47.526484850830187</c:v>
                </c:pt>
                <c:pt idx="11">
                  <c:v>62.836913973190654</c:v>
                </c:pt>
                <c:pt idx="12">
                  <c:v>1001.5238177961443</c:v>
                </c:pt>
                <c:pt idx="13">
                  <c:v>441.04307715124412</c:v>
                </c:pt>
                <c:pt idx="14">
                  <c:v>12.710723651172119</c:v>
                </c:pt>
                <c:pt idx="15">
                  <c:v>515.68795250301434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B3-498D-9B21-016215328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21341808"/>
        <c:axId val="1721340560"/>
      </c:barChart>
      <c:catAx>
        <c:axId val="1721341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21340560"/>
        <c:crosses val="autoZero"/>
        <c:auto val="1"/>
        <c:lblAlgn val="ctr"/>
        <c:lblOffset val="100"/>
        <c:noMultiLvlLbl val="0"/>
      </c:catAx>
      <c:valAx>
        <c:axId val="172134056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21341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547484689413823"/>
          <c:y val="0.92241325006787944"/>
          <c:w val="0.63460586176727907"/>
          <c:h val="7.75867499321205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'MEC i PEC'!$J$35</c:f>
              <c:strCache>
                <c:ptCount val="1"/>
                <c:pt idx="0">
                  <c:v>Cd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'MEC i PEC'!$K$34:$N$34</c:f>
              <c:strCache>
                <c:ptCount val="4"/>
                <c:pt idx="0">
                  <c:v>R</c:v>
                </c:pt>
                <c:pt idx="1">
                  <c:v>Tn</c:v>
                </c:pt>
                <c:pt idx="2">
                  <c:v>A</c:v>
                </c:pt>
                <c:pt idx="3">
                  <c:v>Tk</c:v>
                </c:pt>
              </c:strCache>
            </c:strRef>
          </c:cat>
          <c:val>
            <c:numRef>
              <c:f>'MEC i PEC'!$K$35:$N$35</c:f>
              <c:numCache>
                <c:formatCode>0</c:formatCode>
                <c:ptCount val="4"/>
                <c:pt idx="0">
                  <c:v>40.377669453165538</c:v>
                </c:pt>
                <c:pt idx="1">
                  <c:v>5.1065314232032657</c:v>
                </c:pt>
                <c:pt idx="2">
                  <c:v>9.5650559675766988</c:v>
                </c:pt>
                <c:pt idx="3">
                  <c:v>3.6747724704728904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17-4DC6-8E53-D8980E485D7D}"/>
            </c:ext>
          </c:extLst>
        </c:ser>
        <c:ser>
          <c:idx val="1"/>
          <c:order val="1"/>
          <c:tx>
            <c:strRef>
              <c:f>'MEC i PEC'!$J$36</c:f>
              <c:strCache>
                <c:ptCount val="1"/>
                <c:pt idx="0">
                  <c:v>Cr</c:v>
                </c:pt>
              </c:strCache>
            </c:strRef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'MEC i PEC'!$K$34:$N$34</c:f>
              <c:strCache>
                <c:ptCount val="4"/>
                <c:pt idx="0">
                  <c:v>R</c:v>
                </c:pt>
                <c:pt idx="1">
                  <c:v>Tn</c:v>
                </c:pt>
                <c:pt idx="2">
                  <c:v>A</c:v>
                </c:pt>
                <c:pt idx="3">
                  <c:v>Tk</c:v>
                </c:pt>
              </c:strCache>
            </c:strRef>
          </c:cat>
          <c:val>
            <c:numRef>
              <c:f>'MEC i PEC'!$K$36:$N$36</c:f>
              <c:numCache>
                <c:formatCode>0</c:formatCode>
                <c:ptCount val="4"/>
                <c:pt idx="0">
                  <c:v>13.8167470496559</c:v>
                </c:pt>
                <c:pt idx="1">
                  <c:v>26.064763264529358</c:v>
                </c:pt>
                <c:pt idx="2">
                  <c:v>16.885663475645014</c:v>
                </c:pt>
                <c:pt idx="3">
                  <c:v>23.977944750807772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17-4DC6-8E53-D8980E485D7D}"/>
            </c:ext>
          </c:extLst>
        </c:ser>
        <c:ser>
          <c:idx val="2"/>
          <c:order val="2"/>
          <c:tx>
            <c:strRef>
              <c:f>'MEC i PEC'!$J$37</c:f>
              <c:strCache>
                <c:ptCount val="1"/>
                <c:pt idx="0">
                  <c:v>Cu</c:v>
                </c:pt>
              </c:strCache>
            </c:strRef>
          </c:tx>
          <c:spPr>
            <a:solidFill>
              <a:schemeClr val="accent3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'MEC i PEC'!$K$34:$N$34</c:f>
              <c:strCache>
                <c:ptCount val="4"/>
                <c:pt idx="0">
                  <c:v>R</c:v>
                </c:pt>
                <c:pt idx="1">
                  <c:v>Tn</c:v>
                </c:pt>
                <c:pt idx="2">
                  <c:v>A</c:v>
                </c:pt>
                <c:pt idx="3">
                  <c:v>Tk</c:v>
                </c:pt>
              </c:strCache>
            </c:strRef>
          </c:cat>
          <c:val>
            <c:numRef>
              <c:f>'MEC i PEC'!$K$37:$N$37</c:f>
              <c:numCache>
                <c:formatCode>0</c:formatCode>
                <c:ptCount val="4"/>
                <c:pt idx="0">
                  <c:v>2.0283110607519843</c:v>
                </c:pt>
                <c:pt idx="1">
                  <c:v>4.6387341457949018</c:v>
                </c:pt>
                <c:pt idx="2">
                  <c:v>2.4006700443809823</c:v>
                </c:pt>
                <c:pt idx="3">
                  <c:v>3.3398027240216819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17-4DC6-8E53-D8980E485D7D}"/>
            </c:ext>
          </c:extLst>
        </c:ser>
        <c:ser>
          <c:idx val="3"/>
          <c:order val="3"/>
          <c:tx>
            <c:strRef>
              <c:f>'MEC i PEC'!$J$38</c:f>
              <c:strCache>
                <c:ptCount val="1"/>
                <c:pt idx="0">
                  <c:v>Ni</c:v>
                </c:pt>
              </c:strCache>
            </c:strRef>
          </c:tx>
          <c:spPr>
            <a:solidFill>
              <a:schemeClr val="accent4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'MEC i PEC'!$K$34:$N$34</c:f>
              <c:strCache>
                <c:ptCount val="4"/>
                <c:pt idx="0">
                  <c:v>R</c:v>
                </c:pt>
                <c:pt idx="1">
                  <c:v>Tn</c:v>
                </c:pt>
                <c:pt idx="2">
                  <c:v>A</c:v>
                </c:pt>
                <c:pt idx="3">
                  <c:v>Tk</c:v>
                </c:pt>
              </c:strCache>
            </c:strRef>
          </c:cat>
          <c:val>
            <c:numRef>
              <c:f>'MEC i PEC'!$K$38:$N$38</c:f>
              <c:numCache>
                <c:formatCode>0</c:formatCode>
                <c:ptCount val="4"/>
                <c:pt idx="0">
                  <c:v>36.476571354663974</c:v>
                </c:pt>
                <c:pt idx="1">
                  <c:v>56.570648548930244</c:v>
                </c:pt>
                <c:pt idx="2">
                  <c:v>63.391430470413752</c:v>
                </c:pt>
                <c:pt idx="3">
                  <c:v>58.890707280966524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17-4DC6-8E53-D8980E485D7D}"/>
            </c:ext>
          </c:extLst>
        </c:ser>
        <c:ser>
          <c:idx val="4"/>
          <c:order val="4"/>
          <c:tx>
            <c:strRef>
              <c:f>'MEC i PEC'!$J$39</c:f>
              <c:strCache>
                <c:ptCount val="1"/>
                <c:pt idx="0">
                  <c:v>Pb</c:v>
                </c:pt>
              </c:strCache>
            </c:strRef>
          </c:tx>
          <c:spPr>
            <a:solidFill>
              <a:schemeClr val="accent5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'MEC i PEC'!$K$34:$N$34</c:f>
              <c:strCache>
                <c:ptCount val="4"/>
                <c:pt idx="0">
                  <c:v>R</c:v>
                </c:pt>
                <c:pt idx="1">
                  <c:v>Tn</c:v>
                </c:pt>
                <c:pt idx="2">
                  <c:v>A</c:v>
                </c:pt>
                <c:pt idx="3">
                  <c:v>Tk</c:v>
                </c:pt>
              </c:strCache>
            </c:strRef>
          </c:cat>
          <c:val>
            <c:numRef>
              <c:f>'MEC i PEC'!$K$39:$N$39</c:f>
              <c:numCache>
                <c:formatCode>0</c:formatCode>
                <c:ptCount val="4"/>
                <c:pt idx="0">
                  <c:v>0.17521788248043291</c:v>
                </c:pt>
                <c:pt idx="1">
                  <c:v>0.24605783567854689</c:v>
                </c:pt>
                <c:pt idx="2">
                  <c:v>0.21642653142437909</c:v>
                </c:pt>
                <c:pt idx="3">
                  <c:v>0.17027852686750253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17-4DC6-8E53-D8980E485D7D}"/>
            </c:ext>
          </c:extLst>
        </c:ser>
        <c:ser>
          <c:idx val="5"/>
          <c:order val="5"/>
          <c:tx>
            <c:strRef>
              <c:f>'MEC i PEC'!$J$40</c:f>
              <c:strCache>
                <c:ptCount val="1"/>
                <c:pt idx="0">
                  <c:v>Zn</c:v>
                </c:pt>
              </c:strCache>
            </c:strRef>
          </c:tx>
          <c:spPr>
            <a:solidFill>
              <a:schemeClr val="accent6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'MEC i PEC'!$K$34:$N$34</c:f>
              <c:strCache>
                <c:ptCount val="4"/>
                <c:pt idx="0">
                  <c:v>R</c:v>
                </c:pt>
                <c:pt idx="1">
                  <c:v>Tn</c:v>
                </c:pt>
                <c:pt idx="2">
                  <c:v>A</c:v>
                </c:pt>
                <c:pt idx="3">
                  <c:v>Tk</c:v>
                </c:pt>
              </c:strCache>
            </c:strRef>
          </c:cat>
          <c:val>
            <c:numRef>
              <c:f>'MEC i PEC'!$K$40:$N$40</c:f>
              <c:numCache>
                <c:formatCode>0</c:formatCode>
                <c:ptCount val="4"/>
                <c:pt idx="0">
                  <c:v>7.1254831992821579</c:v>
                </c:pt>
                <c:pt idx="1">
                  <c:v>7.3732647818637007</c:v>
                </c:pt>
                <c:pt idx="2">
                  <c:v>7.5407535105591776</c:v>
                </c:pt>
                <c:pt idx="3">
                  <c:v>9.9464942468636437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17-4DC6-8E53-D8980E48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29620688"/>
        <c:axId val="729622352"/>
      </c:barChart>
      <c:catAx>
        <c:axId val="729620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29622352"/>
        <c:crosses val="autoZero"/>
        <c:auto val="1"/>
        <c:lblAlgn val="ctr"/>
        <c:lblOffset val="100"/>
        <c:noMultiLvlLbl val="0"/>
      </c:catAx>
      <c:valAx>
        <c:axId val="729622352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29620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456036745406828E-2"/>
          <c:y val="9.2592592592592587E-2"/>
          <c:w val="0.87493985126859142"/>
          <c:h val="0.6645902595508894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'MEC i PEC'!$J$42</c:f>
              <c:strCache>
                <c:ptCount val="1"/>
                <c:pt idx="0">
                  <c:v>Trimethoprim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'MEC i PEC'!$K$41:$N$41</c:f>
              <c:strCache>
                <c:ptCount val="4"/>
                <c:pt idx="0">
                  <c:v>R</c:v>
                </c:pt>
                <c:pt idx="1">
                  <c:v>Tn</c:v>
                </c:pt>
                <c:pt idx="2">
                  <c:v>A</c:v>
                </c:pt>
                <c:pt idx="3">
                  <c:v>Tk</c:v>
                </c:pt>
              </c:strCache>
            </c:strRef>
          </c:cat>
          <c:val>
            <c:numRef>
              <c:f>'MEC i PEC'!$K$42:$N$42</c:f>
              <c:numCache>
                <c:formatCode>0.00</c:formatCode>
                <c:ptCount val="4"/>
                <c:pt idx="0">
                  <c:v>0.15904318760589084</c:v>
                </c:pt>
                <c:pt idx="1">
                  <c:v>0.69264795392500411</c:v>
                </c:pt>
                <c:pt idx="2">
                  <c:v>0.67111483419387585</c:v>
                </c:pt>
                <c:pt idx="3">
                  <c:v>0.1724224465816111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32-4FE3-B8EC-AA3DE0E697CC}"/>
            </c:ext>
          </c:extLst>
        </c:ser>
        <c:ser>
          <c:idx val="1"/>
          <c:order val="1"/>
          <c:tx>
            <c:strRef>
              <c:f>'MEC i PEC'!$J$43</c:f>
              <c:strCache>
                <c:ptCount val="1"/>
                <c:pt idx="0">
                  <c:v>Thiabendazole</c:v>
                </c:pt>
              </c:strCache>
            </c:strRef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'MEC i PEC'!$K$41:$N$41</c:f>
              <c:strCache>
                <c:ptCount val="4"/>
                <c:pt idx="0">
                  <c:v>R</c:v>
                </c:pt>
                <c:pt idx="1">
                  <c:v>Tn</c:v>
                </c:pt>
                <c:pt idx="2">
                  <c:v>A</c:v>
                </c:pt>
                <c:pt idx="3">
                  <c:v>Tk</c:v>
                </c:pt>
              </c:strCache>
            </c:strRef>
          </c:cat>
          <c:val>
            <c:numRef>
              <c:f>'MEC i PEC'!$K$43:$N$43</c:f>
              <c:numCache>
                <c:formatCode>0.00</c:formatCode>
                <c:ptCount val="4"/>
                <c:pt idx="0">
                  <c:v>1.3967021606687768E-3</c:v>
                </c:pt>
                <c:pt idx="1">
                  <c:v>1.1197085856905504E-2</c:v>
                </c:pt>
                <c:pt idx="2">
                  <c:v>0.12076168424358734</c:v>
                </c:pt>
                <c:pt idx="3">
                  <c:v>7.9736116298441233E-3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32-4FE3-B8EC-AA3DE0E697CC}"/>
            </c:ext>
          </c:extLst>
        </c:ser>
        <c:ser>
          <c:idx val="2"/>
          <c:order val="2"/>
          <c:tx>
            <c:strRef>
              <c:f>'MEC i PEC'!$J$44</c:f>
              <c:strCache>
                <c:ptCount val="1"/>
                <c:pt idx="0">
                  <c:v>Ciprofloxacin</c:v>
                </c:pt>
              </c:strCache>
            </c:strRef>
          </c:tx>
          <c:spPr>
            <a:solidFill>
              <a:schemeClr val="accent3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'MEC i PEC'!$K$41:$N$41</c:f>
              <c:strCache>
                <c:ptCount val="4"/>
                <c:pt idx="0">
                  <c:v>R</c:v>
                </c:pt>
                <c:pt idx="1">
                  <c:v>Tn</c:v>
                </c:pt>
                <c:pt idx="2">
                  <c:v>A</c:v>
                </c:pt>
                <c:pt idx="3">
                  <c:v>Tk</c:v>
                </c:pt>
              </c:strCache>
            </c:strRef>
          </c:cat>
          <c:val>
            <c:numRef>
              <c:f>'MEC i PEC'!$K$44:$N$44</c:f>
              <c:numCache>
                <c:formatCode>0.00</c:formatCode>
                <c:ptCount val="4"/>
                <c:pt idx="0">
                  <c:v>0.23602356523318963</c:v>
                </c:pt>
                <c:pt idx="1">
                  <c:v>1.8660750424949362</c:v>
                </c:pt>
                <c:pt idx="2">
                  <c:v>1.0757523784280523</c:v>
                </c:pt>
                <c:pt idx="3">
                  <c:v>0.47290078286628617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32-4FE3-B8EC-AA3DE0E697CC}"/>
            </c:ext>
          </c:extLst>
        </c:ser>
        <c:ser>
          <c:idx val="3"/>
          <c:order val="3"/>
          <c:tx>
            <c:strRef>
              <c:f>'MEC i PEC'!$J$45</c:f>
              <c:strCache>
                <c:ptCount val="1"/>
                <c:pt idx="0">
                  <c:v>Norfloxacin</c:v>
                </c:pt>
              </c:strCache>
            </c:strRef>
          </c:tx>
          <c:spPr>
            <a:solidFill>
              <a:schemeClr val="accent4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'MEC i PEC'!$K$41:$N$41</c:f>
              <c:strCache>
                <c:ptCount val="4"/>
                <c:pt idx="0">
                  <c:v>R</c:v>
                </c:pt>
                <c:pt idx="1">
                  <c:v>Tn</c:v>
                </c:pt>
                <c:pt idx="2">
                  <c:v>A</c:v>
                </c:pt>
                <c:pt idx="3">
                  <c:v>Tk</c:v>
                </c:pt>
              </c:strCache>
            </c:strRef>
          </c:cat>
          <c:val>
            <c:numRef>
              <c:f>'MEC i PEC'!$K$45:$N$45</c:f>
              <c:numCache>
                <c:formatCode>0.00</c:formatCode>
                <c:ptCount val="4"/>
                <c:pt idx="0">
                  <c:v>0.16311737835332746</c:v>
                </c:pt>
                <c:pt idx="1">
                  <c:v>2.7402775568418005</c:v>
                </c:pt>
                <c:pt idx="2">
                  <c:v>3.1589666632373783</c:v>
                </c:pt>
                <c:pt idx="3">
                  <c:v>1.5214095989843974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32-4FE3-B8EC-AA3DE0E697CC}"/>
            </c:ext>
          </c:extLst>
        </c:ser>
        <c:ser>
          <c:idx val="4"/>
          <c:order val="4"/>
          <c:tx>
            <c:strRef>
              <c:f>'MEC i PEC'!$J$46</c:f>
              <c:strCache>
                <c:ptCount val="1"/>
                <c:pt idx="0">
                  <c:v>Tetracycline</c:v>
                </c:pt>
              </c:strCache>
            </c:strRef>
          </c:tx>
          <c:spPr>
            <a:solidFill>
              <a:schemeClr val="accent5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'MEC i PEC'!$K$41:$N$41</c:f>
              <c:strCache>
                <c:ptCount val="4"/>
                <c:pt idx="0">
                  <c:v>R</c:v>
                </c:pt>
                <c:pt idx="1">
                  <c:v>Tn</c:v>
                </c:pt>
                <c:pt idx="2">
                  <c:v>A</c:v>
                </c:pt>
                <c:pt idx="3">
                  <c:v>Tk</c:v>
                </c:pt>
              </c:strCache>
            </c:strRef>
          </c:cat>
          <c:val>
            <c:numRef>
              <c:f>'MEC i PEC'!$K$46:$N$46</c:f>
              <c:numCache>
                <c:formatCode>0.00</c:formatCode>
                <c:ptCount val="4"/>
                <c:pt idx="0">
                  <c:v>99.247080057961725</c:v>
                </c:pt>
                <c:pt idx="1">
                  <c:v>93.631986106655987</c:v>
                </c:pt>
                <c:pt idx="2">
                  <c:v>94.607457484240967</c:v>
                </c:pt>
                <c:pt idx="3">
                  <c:v>97.582127958051601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32-4FE3-B8EC-AA3DE0E697CC}"/>
            </c:ext>
          </c:extLst>
        </c:ser>
        <c:ser>
          <c:idx val="5"/>
          <c:order val="5"/>
          <c:tx>
            <c:strRef>
              <c:f>'MEC i PEC'!$J$47</c:f>
              <c:strCache>
                <c:ptCount val="1"/>
                <c:pt idx="0">
                  <c:v>Clindamycin</c:v>
                </c:pt>
              </c:strCache>
            </c:strRef>
          </c:tx>
          <c:spPr>
            <a:solidFill>
              <a:schemeClr val="accent6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'MEC i PEC'!$K$41:$N$41</c:f>
              <c:strCache>
                <c:ptCount val="4"/>
                <c:pt idx="0">
                  <c:v>R</c:v>
                </c:pt>
                <c:pt idx="1">
                  <c:v>Tn</c:v>
                </c:pt>
                <c:pt idx="2">
                  <c:v>A</c:v>
                </c:pt>
                <c:pt idx="3">
                  <c:v>Tk</c:v>
                </c:pt>
              </c:strCache>
            </c:strRef>
          </c:cat>
          <c:val>
            <c:numRef>
              <c:f>'MEC i PEC'!$K$47:$N$47</c:f>
              <c:numCache>
                <c:formatCode>0.00</c:formatCode>
                <c:ptCount val="4"/>
                <c:pt idx="0">
                  <c:v>2.0354893891495852E-2</c:v>
                </c:pt>
                <c:pt idx="1">
                  <c:v>6.7950600485392171E-2</c:v>
                </c:pt>
                <c:pt idx="2">
                  <c:v>0.10565802364006993</c:v>
                </c:pt>
                <c:pt idx="3">
                  <c:v>5.3343446455411586E-2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332-4FE3-B8EC-AA3DE0E697CC}"/>
            </c:ext>
          </c:extLst>
        </c:ser>
        <c:ser>
          <c:idx val="6"/>
          <c:order val="6"/>
          <c:tx>
            <c:strRef>
              <c:f>'MEC i PEC'!$J$48</c:f>
              <c:strCache>
                <c:ptCount val="1"/>
                <c:pt idx="0">
                  <c:v>Ofloxacin</c:v>
                </c:pt>
              </c:strCache>
            </c:strRef>
          </c:tx>
          <c:spPr>
            <a:solidFill>
              <a:schemeClr val="accent1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'MEC i PEC'!$K$41:$N$41</c:f>
              <c:strCache>
                <c:ptCount val="4"/>
                <c:pt idx="0">
                  <c:v>R</c:v>
                </c:pt>
                <c:pt idx="1">
                  <c:v>Tn</c:v>
                </c:pt>
                <c:pt idx="2">
                  <c:v>A</c:v>
                </c:pt>
                <c:pt idx="3">
                  <c:v>Tk</c:v>
                </c:pt>
              </c:strCache>
            </c:strRef>
          </c:cat>
          <c:val>
            <c:numRef>
              <c:f>'MEC i PEC'!$K$48:$N$48</c:f>
              <c:numCache>
                <c:formatCode>0.00</c:formatCode>
                <c:ptCount val="4"/>
                <c:pt idx="0">
                  <c:v>0.17298421479369103</c:v>
                </c:pt>
                <c:pt idx="1">
                  <c:v>0.98986565373996971</c:v>
                </c:pt>
                <c:pt idx="2">
                  <c:v>0.26028893201605618</c:v>
                </c:pt>
                <c:pt idx="3">
                  <c:v>0.18982215543085618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332-4FE3-B8EC-AA3DE0E69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29145072"/>
        <c:axId val="729143408"/>
      </c:barChart>
      <c:catAx>
        <c:axId val="7291450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29143408"/>
        <c:crosses val="autoZero"/>
        <c:auto val="1"/>
        <c:lblAlgn val="ctr"/>
        <c:lblOffset val="100"/>
        <c:noMultiLvlLbl val="0"/>
      </c:catAx>
      <c:valAx>
        <c:axId val="729143408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29145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592867068087079"/>
          <c:y val="0.87847112860892385"/>
          <c:w val="0.70814265863825843"/>
          <c:h val="9.375109361329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630615995770248E-2"/>
          <c:y val="5.0326799975647159E-2"/>
          <c:w val="0.90278469539554851"/>
          <c:h val="0.7580876824706748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'MEC i PEC'!$F$55</c:f>
              <c:strCache>
                <c:ptCount val="1"/>
                <c:pt idx="0">
                  <c:v>Cd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'MEC i PEC'!$G$54:$J$54</c:f>
              <c:strCache>
                <c:ptCount val="4"/>
                <c:pt idx="0">
                  <c:v>R</c:v>
                </c:pt>
                <c:pt idx="1">
                  <c:v>Tn</c:v>
                </c:pt>
                <c:pt idx="2">
                  <c:v>A</c:v>
                </c:pt>
                <c:pt idx="3">
                  <c:v>Tk</c:v>
                </c:pt>
              </c:strCache>
            </c:strRef>
          </c:cat>
          <c:val>
            <c:numRef>
              <c:f>'MEC i PEC'!$G$55:$J$55</c:f>
              <c:numCache>
                <c:formatCode>General</c:formatCode>
                <c:ptCount val="4"/>
                <c:pt idx="0">
                  <c:v>0.38494299370724805</c:v>
                </c:pt>
                <c:pt idx="1">
                  <c:v>0.54580156368481036</c:v>
                </c:pt>
                <c:pt idx="2">
                  <c:v>1.0231881203878463</c:v>
                </c:pt>
                <c:pt idx="3">
                  <c:v>0.36010149236194966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A7-4A39-AC22-37CCC3DF3166}"/>
            </c:ext>
          </c:extLst>
        </c:ser>
        <c:ser>
          <c:idx val="1"/>
          <c:order val="1"/>
          <c:tx>
            <c:strRef>
              <c:f>'MEC i PEC'!$F$56</c:f>
              <c:strCache>
                <c:ptCount val="1"/>
                <c:pt idx="0">
                  <c:v>Cr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'MEC i PEC'!$G$54:$J$54</c:f>
              <c:strCache>
                <c:ptCount val="4"/>
                <c:pt idx="0">
                  <c:v>R</c:v>
                </c:pt>
                <c:pt idx="1">
                  <c:v>Tn</c:v>
                </c:pt>
                <c:pt idx="2">
                  <c:v>A</c:v>
                </c:pt>
                <c:pt idx="3">
                  <c:v>Tk</c:v>
                </c:pt>
              </c:strCache>
            </c:strRef>
          </c:cat>
          <c:val>
            <c:numRef>
              <c:f>'MEC i PEC'!$G$56:$J$56</c:f>
              <c:numCache>
                <c:formatCode>General</c:formatCode>
                <c:ptCount val="4"/>
                <c:pt idx="0">
                  <c:v>2.3417387964391212</c:v>
                </c:pt>
                <c:pt idx="1">
                  <c:v>3.1838639281703287</c:v>
                </c:pt>
                <c:pt idx="2">
                  <c:v>2.0643248963982024</c:v>
                </c:pt>
                <c:pt idx="3">
                  <c:v>2.6853343618390051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A7-4A39-AC22-37CCC3DF3166}"/>
            </c:ext>
          </c:extLst>
        </c:ser>
        <c:ser>
          <c:idx val="2"/>
          <c:order val="2"/>
          <c:tx>
            <c:strRef>
              <c:f>'MEC i PEC'!$F$57</c:f>
              <c:strCache>
                <c:ptCount val="1"/>
                <c:pt idx="0">
                  <c:v>Cu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'MEC i PEC'!$G$54:$J$54</c:f>
              <c:strCache>
                <c:ptCount val="4"/>
                <c:pt idx="0">
                  <c:v>R</c:v>
                </c:pt>
                <c:pt idx="1">
                  <c:v>Tn</c:v>
                </c:pt>
                <c:pt idx="2">
                  <c:v>A</c:v>
                </c:pt>
                <c:pt idx="3">
                  <c:v>Tk</c:v>
                </c:pt>
              </c:strCache>
            </c:strRef>
          </c:cat>
          <c:val>
            <c:numRef>
              <c:f>'MEC i PEC'!$G$57:$J$57</c:f>
              <c:numCache>
                <c:formatCode>General</c:formatCode>
                <c:ptCount val="4"/>
                <c:pt idx="0">
                  <c:v>7.5199554017615622</c:v>
                </c:pt>
                <c:pt idx="1">
                  <c:v>12.395049302882748</c:v>
                </c:pt>
                <c:pt idx="2">
                  <c:v>6.4200802345223922</c:v>
                </c:pt>
                <c:pt idx="3">
                  <c:v>8.181921158236678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A7-4A39-AC22-37CCC3DF3166}"/>
            </c:ext>
          </c:extLst>
        </c:ser>
        <c:ser>
          <c:idx val="3"/>
          <c:order val="3"/>
          <c:tx>
            <c:strRef>
              <c:f>'MEC i PEC'!$F$58</c:f>
              <c:strCache>
                <c:ptCount val="1"/>
                <c:pt idx="0">
                  <c:v>Ni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'MEC i PEC'!$G$54:$J$54</c:f>
              <c:strCache>
                <c:ptCount val="4"/>
                <c:pt idx="0">
                  <c:v>R</c:v>
                </c:pt>
                <c:pt idx="1">
                  <c:v>Tn</c:v>
                </c:pt>
                <c:pt idx="2">
                  <c:v>A</c:v>
                </c:pt>
                <c:pt idx="3">
                  <c:v>Tk</c:v>
                </c:pt>
              </c:strCache>
            </c:strRef>
          </c:cat>
          <c:val>
            <c:numRef>
              <c:f>'MEC i PEC'!$G$58:$J$58</c:f>
              <c:numCache>
                <c:formatCode>General</c:formatCode>
                <c:ptCount val="4"/>
                <c:pt idx="0">
                  <c:v>44.43493116297924</c:v>
                </c:pt>
                <c:pt idx="1">
                  <c:v>49.66720594730991</c:v>
                </c:pt>
                <c:pt idx="2">
                  <c:v>55.701684662918538</c:v>
                </c:pt>
                <c:pt idx="3">
                  <c:v>47.403569124351918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A7-4A39-AC22-37CCC3DF3166}"/>
            </c:ext>
          </c:extLst>
        </c:ser>
        <c:ser>
          <c:idx val="4"/>
          <c:order val="4"/>
          <c:tx>
            <c:strRef>
              <c:f>'MEC i PEC'!$F$59</c:f>
              <c:strCache>
                <c:ptCount val="1"/>
                <c:pt idx="0">
                  <c:v>Pb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'MEC i PEC'!$G$54:$J$54</c:f>
              <c:strCache>
                <c:ptCount val="4"/>
                <c:pt idx="0">
                  <c:v>R</c:v>
                </c:pt>
                <c:pt idx="1">
                  <c:v>Tn</c:v>
                </c:pt>
                <c:pt idx="2">
                  <c:v>A</c:v>
                </c:pt>
                <c:pt idx="3">
                  <c:v>Tk</c:v>
                </c:pt>
              </c:strCache>
            </c:strRef>
          </c:cat>
          <c:val>
            <c:numRef>
              <c:f>'MEC i PEC'!$G$59:$J$59</c:f>
              <c:numCache>
                <c:formatCode>General</c:formatCode>
                <c:ptCount val="4"/>
                <c:pt idx="0">
                  <c:v>1.5405265289677206</c:v>
                </c:pt>
                <c:pt idx="1">
                  <c:v>1.5591791665895565</c:v>
                </c:pt>
                <c:pt idx="2">
                  <c:v>1.3725511233798717</c:v>
                </c:pt>
                <c:pt idx="3">
                  <c:v>0.98924623947945489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A7-4A39-AC22-37CCC3DF3166}"/>
            </c:ext>
          </c:extLst>
        </c:ser>
        <c:ser>
          <c:idx val="5"/>
          <c:order val="5"/>
          <c:tx>
            <c:strRef>
              <c:f>'MEC i PEC'!$F$60</c:f>
              <c:strCache>
                <c:ptCount val="1"/>
                <c:pt idx="0">
                  <c:v>Zn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'MEC i PEC'!$G$54:$J$54</c:f>
              <c:strCache>
                <c:ptCount val="4"/>
                <c:pt idx="0">
                  <c:v>R</c:v>
                </c:pt>
                <c:pt idx="1">
                  <c:v>Tn</c:v>
                </c:pt>
                <c:pt idx="2">
                  <c:v>A</c:v>
                </c:pt>
                <c:pt idx="3">
                  <c:v>Tk</c:v>
                </c:pt>
              </c:strCache>
            </c:strRef>
          </c:cat>
          <c:val>
            <c:numRef>
              <c:f>'MEC i PEC'!$G$60:$J$60</c:f>
              <c:numCache>
                <c:formatCode>General</c:formatCode>
                <c:ptCount val="4"/>
                <c:pt idx="0">
                  <c:v>43.777905116145114</c:v>
                </c:pt>
                <c:pt idx="1">
                  <c:v>32.648900091362641</c:v>
                </c:pt>
                <c:pt idx="2">
                  <c:v>33.418170962393155</c:v>
                </c:pt>
                <c:pt idx="3">
                  <c:v>40.379827623731003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2A7-4A39-AC22-37CCC3DF3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53161007"/>
        <c:axId val="1353157679"/>
      </c:barChart>
      <c:catAx>
        <c:axId val="13531610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3157679"/>
        <c:crossesAt val="0"/>
        <c:auto val="1"/>
        <c:lblAlgn val="ctr"/>
        <c:lblOffset val="100"/>
        <c:noMultiLvlLbl val="0"/>
      </c:catAx>
      <c:valAx>
        <c:axId val="1353157679"/>
        <c:scaling>
          <c:orientation val="minMax"/>
          <c:max val="100"/>
        </c:scaling>
        <c:delete val="1"/>
        <c:axPos val="b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crossAx val="13531610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356736657917783E-2"/>
          <c:y val="0.89409667541557303"/>
          <c:w val="0.89728652668416453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567147856517933E-2"/>
          <c:y val="5.0925925925925923E-2"/>
          <c:w val="0.88882874015748037"/>
          <c:h val="0.6966165764302699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'MEC i PEC'!$F$62</c:f>
              <c:strCache>
                <c:ptCount val="1"/>
                <c:pt idx="0">
                  <c:v>Trimethoprim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'MEC i PEC'!$G$61:$J$61</c:f>
              <c:strCache>
                <c:ptCount val="4"/>
                <c:pt idx="0">
                  <c:v>R</c:v>
                </c:pt>
                <c:pt idx="1">
                  <c:v>Tn</c:v>
                </c:pt>
                <c:pt idx="2">
                  <c:v>A</c:v>
                </c:pt>
                <c:pt idx="3">
                  <c:v>Tk</c:v>
                </c:pt>
              </c:strCache>
            </c:strRef>
          </c:cat>
          <c:val>
            <c:numRef>
              <c:f>'MEC i PEC'!$G$62:$J$62</c:f>
              <c:numCache>
                <c:formatCode>General</c:formatCode>
                <c:ptCount val="4"/>
                <c:pt idx="0">
                  <c:v>1.7115687180253059</c:v>
                </c:pt>
                <c:pt idx="1">
                  <c:v>2.5239095527357249</c:v>
                </c:pt>
                <c:pt idx="2">
                  <c:v>3.5034910159158135</c:v>
                </c:pt>
                <c:pt idx="3">
                  <c:v>1.3420803220570903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D-4F7F-9CE7-BA4329790317}"/>
            </c:ext>
          </c:extLst>
        </c:ser>
        <c:ser>
          <c:idx val="1"/>
          <c:order val="1"/>
          <c:tx>
            <c:strRef>
              <c:f>'MEC i PEC'!$F$63</c:f>
              <c:strCache>
                <c:ptCount val="1"/>
                <c:pt idx="0">
                  <c:v>Thiabendazole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'MEC i PEC'!$G$61:$J$61</c:f>
              <c:strCache>
                <c:ptCount val="4"/>
                <c:pt idx="0">
                  <c:v>R</c:v>
                </c:pt>
                <c:pt idx="1">
                  <c:v>Tn</c:v>
                </c:pt>
                <c:pt idx="2">
                  <c:v>A</c:v>
                </c:pt>
                <c:pt idx="3">
                  <c:v>Tk</c:v>
                </c:pt>
              </c:strCache>
            </c:strRef>
          </c:cat>
          <c:val>
            <c:numRef>
              <c:f>'MEC i PEC'!$G$63:$J$63</c:f>
              <c:numCache>
                <c:formatCode>General</c:formatCode>
                <c:ptCount val="4"/>
                <c:pt idx="0">
                  <c:v>2.4485713194152603E-2</c:v>
                </c:pt>
                <c:pt idx="1">
                  <c:v>6.6465446153400012E-2</c:v>
                </c:pt>
                <c:pt idx="2">
                  <c:v>1.0269824342542104</c:v>
                </c:pt>
                <c:pt idx="3">
                  <c:v>0.1011042631616486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D-4F7F-9CE7-BA4329790317}"/>
            </c:ext>
          </c:extLst>
        </c:ser>
        <c:ser>
          <c:idx val="2"/>
          <c:order val="2"/>
          <c:tx>
            <c:strRef>
              <c:f>'MEC i PEC'!$F$64</c:f>
              <c:strCache>
                <c:ptCount val="1"/>
                <c:pt idx="0">
                  <c:v>Ciprofloxacin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'MEC i PEC'!$G$61:$J$61</c:f>
              <c:strCache>
                <c:ptCount val="4"/>
                <c:pt idx="0">
                  <c:v>R</c:v>
                </c:pt>
                <c:pt idx="1">
                  <c:v>Tn</c:v>
                </c:pt>
                <c:pt idx="2">
                  <c:v>A</c:v>
                </c:pt>
                <c:pt idx="3">
                  <c:v>Tk</c:v>
                </c:pt>
              </c:strCache>
            </c:strRef>
          </c:cat>
          <c:val>
            <c:numRef>
              <c:f>'MEC i PEC'!$G$64:$J$64</c:f>
              <c:numCache>
                <c:formatCode>General</c:formatCode>
                <c:ptCount val="4"/>
                <c:pt idx="0">
                  <c:v>7.4151769743994072</c:v>
                </c:pt>
                <c:pt idx="1">
                  <c:v>19.850763791346207</c:v>
                </c:pt>
                <c:pt idx="2">
                  <c:v>16.394696070343464</c:v>
                </c:pt>
                <c:pt idx="3">
                  <c:v>10.745871026608391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6D-4F7F-9CE7-BA4329790317}"/>
            </c:ext>
          </c:extLst>
        </c:ser>
        <c:ser>
          <c:idx val="3"/>
          <c:order val="3"/>
          <c:tx>
            <c:strRef>
              <c:f>'MEC i PEC'!$F$65</c:f>
              <c:strCache>
                <c:ptCount val="1"/>
                <c:pt idx="0">
                  <c:v>Norfloxacin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'MEC i PEC'!$G$61:$J$61</c:f>
              <c:strCache>
                <c:ptCount val="4"/>
                <c:pt idx="0">
                  <c:v>R</c:v>
                </c:pt>
                <c:pt idx="1">
                  <c:v>Tn</c:v>
                </c:pt>
                <c:pt idx="2">
                  <c:v>A</c:v>
                </c:pt>
                <c:pt idx="3">
                  <c:v>Tk</c:v>
                </c:pt>
              </c:strCache>
            </c:strRef>
          </c:cat>
          <c:val>
            <c:numRef>
              <c:f>'MEC i PEC'!$G$65:$J$65</c:f>
              <c:numCache>
                <c:formatCode>General</c:formatCode>
                <c:ptCount val="4"/>
                <c:pt idx="0">
                  <c:v>3.5391406730271631</c:v>
                </c:pt>
                <c:pt idx="1">
                  <c:v>20.131406069263452</c:v>
                </c:pt>
                <c:pt idx="2">
                  <c:v>33.248153886396103</c:v>
                </c:pt>
                <c:pt idx="3">
                  <c:v>23.875318892390865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6D-4F7F-9CE7-BA4329790317}"/>
            </c:ext>
          </c:extLst>
        </c:ser>
        <c:ser>
          <c:idx val="4"/>
          <c:order val="4"/>
          <c:tx>
            <c:strRef>
              <c:f>'MEC i PEC'!$F$66</c:f>
              <c:strCache>
                <c:ptCount val="1"/>
                <c:pt idx="0">
                  <c:v>Tetracycline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'MEC i PEC'!$G$61:$J$61</c:f>
              <c:strCache>
                <c:ptCount val="4"/>
                <c:pt idx="0">
                  <c:v>R</c:v>
                </c:pt>
                <c:pt idx="1">
                  <c:v>Tn</c:v>
                </c:pt>
                <c:pt idx="2">
                  <c:v>A</c:v>
                </c:pt>
                <c:pt idx="3">
                  <c:v>Tk</c:v>
                </c:pt>
              </c:strCache>
            </c:strRef>
          </c:cat>
          <c:val>
            <c:numRef>
              <c:f>'MEC i PEC'!$G$66:$J$66</c:f>
              <c:numCache>
                <c:formatCode>General</c:formatCode>
                <c:ptCount val="4"/>
                <c:pt idx="0">
                  <c:v>68.907312024395409</c:v>
                </c:pt>
                <c:pt idx="1">
                  <c:v>22.011709331308971</c:v>
                </c:pt>
                <c:pt idx="2">
                  <c:v>31.863820197589494</c:v>
                </c:pt>
                <c:pt idx="3">
                  <c:v>49.003070305365462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6D-4F7F-9CE7-BA4329790317}"/>
            </c:ext>
          </c:extLst>
        </c:ser>
        <c:ser>
          <c:idx val="5"/>
          <c:order val="5"/>
          <c:tx>
            <c:strRef>
              <c:f>'MEC i PEC'!$F$67</c:f>
              <c:strCache>
                <c:ptCount val="1"/>
                <c:pt idx="0">
                  <c:v>Clindamycin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'MEC i PEC'!$G$61:$J$61</c:f>
              <c:strCache>
                <c:ptCount val="4"/>
                <c:pt idx="0">
                  <c:v>R</c:v>
                </c:pt>
                <c:pt idx="1">
                  <c:v>Tn</c:v>
                </c:pt>
                <c:pt idx="2">
                  <c:v>A</c:v>
                </c:pt>
                <c:pt idx="3">
                  <c:v>Tk</c:v>
                </c:pt>
              </c:strCache>
            </c:strRef>
          </c:cat>
          <c:val>
            <c:numRef>
              <c:f>'MEC i PEC'!$G$67:$J$67</c:f>
              <c:numCache>
                <c:formatCode>General</c:formatCode>
                <c:ptCount val="4"/>
                <c:pt idx="0">
                  <c:v>0.29678073651636028</c:v>
                </c:pt>
                <c:pt idx="1">
                  <c:v>0.33546106953707588</c:v>
                </c:pt>
                <c:pt idx="2">
                  <c:v>0.74729873840519934</c:v>
                </c:pt>
                <c:pt idx="3">
                  <c:v>0.56253995424534431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46D-4F7F-9CE7-BA4329790317}"/>
            </c:ext>
          </c:extLst>
        </c:ser>
        <c:ser>
          <c:idx val="6"/>
          <c:order val="6"/>
          <c:tx>
            <c:strRef>
              <c:f>'MEC i PEC'!$F$68</c:f>
              <c:strCache>
                <c:ptCount val="1"/>
                <c:pt idx="0">
                  <c:v>Ofloxacin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'MEC i PEC'!$G$61:$J$61</c:f>
              <c:strCache>
                <c:ptCount val="4"/>
                <c:pt idx="0">
                  <c:v>R</c:v>
                </c:pt>
                <c:pt idx="1">
                  <c:v>Tn</c:v>
                </c:pt>
                <c:pt idx="2">
                  <c:v>A</c:v>
                </c:pt>
                <c:pt idx="3">
                  <c:v>Tk</c:v>
                </c:pt>
              </c:strCache>
            </c:strRef>
          </c:cat>
          <c:val>
            <c:numRef>
              <c:f>'MEC i PEC'!$G$68:$J$68</c:f>
              <c:numCache>
                <c:formatCode>General</c:formatCode>
                <c:ptCount val="4"/>
                <c:pt idx="0">
                  <c:v>18.105535160442198</c:v>
                </c:pt>
                <c:pt idx="1">
                  <c:v>35.08028473965517</c:v>
                </c:pt>
                <c:pt idx="2">
                  <c:v>13.215557657095715</c:v>
                </c:pt>
                <c:pt idx="3">
                  <c:v>14.3700152361712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6D-4F7F-9CE7-BA4329790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45278463"/>
        <c:axId val="1345282623"/>
      </c:barChart>
      <c:catAx>
        <c:axId val="13452784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45282623"/>
        <c:crosses val="autoZero"/>
        <c:auto val="1"/>
        <c:lblAlgn val="ctr"/>
        <c:lblOffset val="100"/>
        <c:noMultiLvlLbl val="0"/>
      </c:catAx>
      <c:valAx>
        <c:axId val="1345282623"/>
        <c:scaling>
          <c:orientation val="minMax"/>
        </c:scaling>
        <c:delete val="1"/>
        <c:axPos val="b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13452784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054593175853019E-2"/>
          <c:y val="0.82291557305336838"/>
          <c:w val="0.93557480314960628"/>
          <c:h val="0.149306649168853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'RQ mix'!$M$70</c:f>
              <c:strCache>
                <c:ptCount val="1"/>
                <c:pt idx="0">
                  <c:v>Trimethoprim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'RQ mix'!$L$77:$L$80</c:f>
              <c:strCache>
                <c:ptCount val="4"/>
                <c:pt idx="0">
                  <c:v>R</c:v>
                </c:pt>
                <c:pt idx="1">
                  <c:v>Tn</c:v>
                </c:pt>
                <c:pt idx="2">
                  <c:v>A</c:v>
                </c:pt>
                <c:pt idx="3">
                  <c:v>Tk</c:v>
                </c:pt>
              </c:strCache>
            </c:strRef>
          </c:cat>
          <c:val>
            <c:numRef>
              <c:f>'RQ mix'!$M$77:$M$80</c:f>
              <c:numCache>
                <c:formatCode>0</c:formatCode>
                <c:ptCount val="4"/>
                <c:pt idx="0">
                  <c:v>0.1816273548214643</c:v>
                </c:pt>
                <c:pt idx="1">
                  <c:v>0.33016507038010667</c:v>
                </c:pt>
                <c:pt idx="2">
                  <c:v>1.0428241919748211</c:v>
                </c:pt>
                <c:pt idx="3">
                  <c:v>0.11485355882291574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F-407D-B15B-75AA6287DDC6}"/>
            </c:ext>
          </c:extLst>
        </c:ser>
        <c:ser>
          <c:idx val="1"/>
          <c:order val="1"/>
          <c:tx>
            <c:strRef>
              <c:f>'RQ mix'!$N$70</c:f>
              <c:strCache>
                <c:ptCount val="1"/>
                <c:pt idx="0">
                  <c:v>Tiabendazole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'RQ mix'!$L$77:$L$80</c:f>
              <c:strCache>
                <c:ptCount val="4"/>
                <c:pt idx="0">
                  <c:v>R</c:v>
                </c:pt>
                <c:pt idx="1">
                  <c:v>Tn</c:v>
                </c:pt>
                <c:pt idx="2">
                  <c:v>A</c:v>
                </c:pt>
                <c:pt idx="3">
                  <c:v>Tk</c:v>
                </c:pt>
              </c:strCache>
            </c:strRef>
          </c:cat>
          <c:val>
            <c:numRef>
              <c:f>'RQ mix'!$N$77:$N$80</c:f>
              <c:numCache>
                <c:formatCode>0</c:formatCode>
                <c:ptCount val="4"/>
                <c:pt idx="0">
                  <c:v>2.1499803634739668E-3</c:v>
                </c:pt>
                <c:pt idx="1">
                  <c:v>1.351516381474663E-2</c:v>
                </c:pt>
                <c:pt idx="2">
                  <c:v>0.10001369330142169</c:v>
                </c:pt>
                <c:pt idx="3">
                  <c:v>6.1972179795535898E-3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3F-407D-B15B-75AA6287DDC6}"/>
            </c:ext>
          </c:extLst>
        </c:ser>
        <c:ser>
          <c:idx val="2"/>
          <c:order val="2"/>
          <c:tx>
            <c:strRef>
              <c:f>'RQ mix'!$O$70</c:f>
              <c:strCache>
                <c:ptCount val="1"/>
                <c:pt idx="0">
                  <c:v>Ciprofloxacin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'RQ mix'!$L$77:$L$80</c:f>
              <c:strCache>
                <c:ptCount val="4"/>
                <c:pt idx="0">
                  <c:v>R</c:v>
                </c:pt>
                <c:pt idx="1">
                  <c:v>Tn</c:v>
                </c:pt>
                <c:pt idx="2">
                  <c:v>A</c:v>
                </c:pt>
                <c:pt idx="3">
                  <c:v>Tk</c:v>
                </c:pt>
              </c:strCache>
            </c:strRef>
          </c:cat>
          <c:val>
            <c:numRef>
              <c:f>'RQ mix'!$O$77:$O$80</c:f>
              <c:numCache>
                <c:formatCode>0</c:formatCode>
                <c:ptCount val="4"/>
                <c:pt idx="0">
                  <c:v>0.3558905133141303</c:v>
                </c:pt>
                <c:pt idx="1">
                  <c:v>1.9077742672292233</c:v>
                </c:pt>
                <c:pt idx="2">
                  <c:v>1.2724951715010471</c:v>
                </c:pt>
                <c:pt idx="3">
                  <c:v>0.50448453787335756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3F-407D-B15B-75AA6287DDC6}"/>
            </c:ext>
          </c:extLst>
        </c:ser>
        <c:ser>
          <c:idx val="3"/>
          <c:order val="3"/>
          <c:tx>
            <c:strRef>
              <c:f>'RQ mix'!$P$70</c:f>
              <c:strCache>
                <c:ptCount val="1"/>
                <c:pt idx="0">
                  <c:v>Norfloxacin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'RQ mix'!$L$77:$L$80</c:f>
              <c:strCache>
                <c:ptCount val="4"/>
                <c:pt idx="0">
                  <c:v>R</c:v>
                </c:pt>
                <c:pt idx="1">
                  <c:v>Tn</c:v>
                </c:pt>
                <c:pt idx="2">
                  <c:v>A</c:v>
                </c:pt>
                <c:pt idx="3">
                  <c:v>Tk</c:v>
                </c:pt>
              </c:strCache>
            </c:strRef>
          </c:cat>
          <c:val>
            <c:numRef>
              <c:f>'RQ mix'!$P$77:$P$80</c:f>
              <c:numCache>
                <c:formatCode>0</c:formatCode>
                <c:ptCount val="4"/>
                <c:pt idx="0">
                  <c:v>0.20788041567098453</c:v>
                </c:pt>
                <c:pt idx="1">
                  <c:v>2.4099043113983023</c:v>
                </c:pt>
                <c:pt idx="2">
                  <c:v>3.3386272612936287</c:v>
                </c:pt>
                <c:pt idx="3">
                  <c:v>1.5104024800445224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3F-407D-B15B-75AA6287DDC6}"/>
            </c:ext>
          </c:extLst>
        </c:ser>
        <c:ser>
          <c:idx val="4"/>
          <c:order val="4"/>
          <c:tx>
            <c:strRef>
              <c:f>'RQ mix'!$Q$70</c:f>
              <c:strCache>
                <c:ptCount val="1"/>
                <c:pt idx="0">
                  <c:v>Tetracycline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'RQ mix'!$L$77:$L$80</c:f>
              <c:strCache>
                <c:ptCount val="4"/>
                <c:pt idx="0">
                  <c:v>R</c:v>
                </c:pt>
                <c:pt idx="1">
                  <c:v>Tn</c:v>
                </c:pt>
                <c:pt idx="2">
                  <c:v>A</c:v>
                </c:pt>
                <c:pt idx="3">
                  <c:v>Tk</c:v>
                </c:pt>
              </c:strCache>
            </c:strRef>
          </c:cat>
          <c:val>
            <c:numRef>
              <c:f>'RQ mix'!$Q$77:$Q$80</c:f>
              <c:numCache>
                <c:formatCode>0</c:formatCode>
                <c:ptCount val="4"/>
                <c:pt idx="0">
                  <c:v>99.091133142498038</c:v>
                </c:pt>
                <c:pt idx="1">
                  <c:v>94.346067293458674</c:v>
                </c:pt>
                <c:pt idx="2">
                  <c:v>93.722542240514755</c:v>
                </c:pt>
                <c:pt idx="3">
                  <c:v>97.648753895946825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3F-407D-B15B-75AA6287DDC6}"/>
            </c:ext>
          </c:extLst>
        </c:ser>
        <c:ser>
          <c:idx val="5"/>
          <c:order val="5"/>
          <c:tx>
            <c:strRef>
              <c:f>'RQ mix'!$R$70</c:f>
              <c:strCache>
                <c:ptCount val="1"/>
                <c:pt idx="0">
                  <c:v>Clindamycin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'RQ mix'!$L$77:$L$80</c:f>
              <c:strCache>
                <c:ptCount val="4"/>
                <c:pt idx="0">
                  <c:v>R</c:v>
                </c:pt>
                <c:pt idx="1">
                  <c:v>Tn</c:v>
                </c:pt>
                <c:pt idx="2">
                  <c:v>A</c:v>
                </c:pt>
                <c:pt idx="3">
                  <c:v>Tk</c:v>
                </c:pt>
              </c:strCache>
            </c:strRef>
          </c:cat>
          <c:val>
            <c:numRef>
              <c:f>'RQ mix'!$R$77:$R$80</c:f>
              <c:numCache>
                <c:formatCode>0</c:formatCode>
                <c:ptCount val="4"/>
                <c:pt idx="0">
                  <c:v>4.0132236141408317E-2</c:v>
                </c:pt>
                <c:pt idx="1">
                  <c:v>7.7900201535990921E-2</c:v>
                </c:pt>
                <c:pt idx="2">
                  <c:v>9.6531635733236712E-2</c:v>
                </c:pt>
                <c:pt idx="3">
                  <c:v>5.8354870682197552E-2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33F-407D-B15B-75AA6287DDC6}"/>
            </c:ext>
          </c:extLst>
        </c:ser>
        <c:ser>
          <c:idx val="6"/>
          <c:order val="6"/>
          <c:tx>
            <c:strRef>
              <c:f>'RQ mix'!$S$70</c:f>
              <c:strCache>
                <c:ptCount val="1"/>
                <c:pt idx="0">
                  <c:v>Ofloxacin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'RQ mix'!$L$77:$L$80</c:f>
              <c:strCache>
                <c:ptCount val="4"/>
                <c:pt idx="0">
                  <c:v>R</c:v>
                </c:pt>
                <c:pt idx="1">
                  <c:v>Tn</c:v>
                </c:pt>
                <c:pt idx="2">
                  <c:v>A</c:v>
                </c:pt>
                <c:pt idx="3">
                  <c:v>Tk</c:v>
                </c:pt>
              </c:strCache>
            </c:strRef>
          </c:cat>
          <c:val>
            <c:numRef>
              <c:f>'RQ mix'!$S$77:$S$80</c:f>
              <c:numCache>
                <c:formatCode>0</c:formatCode>
                <c:ptCount val="4"/>
                <c:pt idx="0">
                  <c:v>0.12118635719050887</c:v>
                </c:pt>
                <c:pt idx="1">
                  <c:v>0.9146736921829598</c:v>
                </c:pt>
                <c:pt idx="2">
                  <c:v>0.42696580568107617</c:v>
                </c:pt>
                <c:pt idx="3">
                  <c:v>0.15695343865061262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33F-407D-B15B-75AA6287D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9924991"/>
        <c:axId val="459928351"/>
      </c:barChart>
      <c:catAx>
        <c:axId val="4599249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59928351"/>
        <c:crosses val="autoZero"/>
        <c:auto val="1"/>
        <c:lblAlgn val="ctr"/>
        <c:lblOffset val="100"/>
        <c:noMultiLvlLbl val="0"/>
      </c:catAx>
      <c:valAx>
        <c:axId val="4599283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599249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2634672609936199E-2"/>
          <c:y val="0.82291557305336838"/>
          <c:w val="0.88695460501340906"/>
          <c:h val="0.149306649168853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567147856517933E-2"/>
          <c:y val="5.0925925925925923E-2"/>
          <c:w val="0.88882874015748037"/>
          <c:h val="0.6645902595508894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'RQ mix'!$V$76</c:f>
              <c:strCache>
                <c:ptCount val="1"/>
                <c:pt idx="0">
                  <c:v>Trimethoprim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'RQ mix'!$U$77:$U$80</c:f>
              <c:strCache>
                <c:ptCount val="4"/>
                <c:pt idx="0">
                  <c:v>R</c:v>
                </c:pt>
                <c:pt idx="1">
                  <c:v>Tn</c:v>
                </c:pt>
                <c:pt idx="2">
                  <c:v>A</c:v>
                </c:pt>
                <c:pt idx="3">
                  <c:v>Tk</c:v>
                </c:pt>
              </c:strCache>
            </c:strRef>
          </c:cat>
          <c:val>
            <c:numRef>
              <c:f>'RQ mix'!$V$77:$V$80</c:f>
              <c:numCache>
                <c:formatCode>0</c:formatCode>
                <c:ptCount val="4"/>
                <c:pt idx="0">
                  <c:v>1.8725670316147474</c:v>
                </c:pt>
                <c:pt idx="1">
                  <c:v>1.2493529912065204</c:v>
                </c:pt>
                <c:pt idx="2">
                  <c:v>4.6329741612196091</c:v>
                </c:pt>
                <c:pt idx="3">
                  <c:v>0.88286974489388459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A7-4111-9C85-E338999877C6}"/>
            </c:ext>
          </c:extLst>
        </c:ser>
        <c:ser>
          <c:idx val="1"/>
          <c:order val="1"/>
          <c:tx>
            <c:strRef>
              <c:f>'RQ mix'!$W$76</c:f>
              <c:strCache>
                <c:ptCount val="1"/>
                <c:pt idx="0">
                  <c:v>Tiabendazole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'RQ mix'!$U$77:$U$80</c:f>
              <c:strCache>
                <c:ptCount val="4"/>
                <c:pt idx="0">
                  <c:v>R</c:v>
                </c:pt>
                <c:pt idx="1">
                  <c:v>Tn</c:v>
                </c:pt>
                <c:pt idx="2">
                  <c:v>A</c:v>
                </c:pt>
                <c:pt idx="3">
                  <c:v>Tk</c:v>
                </c:pt>
              </c:strCache>
            </c:strRef>
          </c:cat>
          <c:val>
            <c:numRef>
              <c:f>'RQ mix'!$W$77:$W$80</c:f>
              <c:numCache>
                <c:formatCode>0</c:formatCode>
                <c:ptCount val="4"/>
                <c:pt idx="0">
                  <c:v>3.6508982410595636E-2</c:v>
                </c:pt>
                <c:pt idx="1">
                  <c:v>8.4233426901694816E-2</c:v>
                </c:pt>
                <c:pt idx="2">
                  <c:v>0.73184206055724454</c:v>
                </c:pt>
                <c:pt idx="3">
                  <c:v>7.8461764352047741E-2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A7-4111-9C85-E338999877C6}"/>
            </c:ext>
          </c:extLst>
        </c:ser>
        <c:ser>
          <c:idx val="2"/>
          <c:order val="2"/>
          <c:tx>
            <c:strRef>
              <c:f>'RQ mix'!$X$76</c:f>
              <c:strCache>
                <c:ptCount val="1"/>
                <c:pt idx="0">
                  <c:v>Ciprofloxacin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'RQ mix'!$U$77:$U$80</c:f>
              <c:strCache>
                <c:ptCount val="4"/>
                <c:pt idx="0">
                  <c:v>R</c:v>
                </c:pt>
                <c:pt idx="1">
                  <c:v>Tn</c:v>
                </c:pt>
                <c:pt idx="2">
                  <c:v>A</c:v>
                </c:pt>
                <c:pt idx="3">
                  <c:v>Tk</c:v>
                </c:pt>
              </c:strCache>
            </c:strRef>
          </c:cat>
          <c:val>
            <c:numRef>
              <c:f>'RQ mix'!$X$77:$X$80</c:f>
              <c:numCache>
                <c:formatCode>0</c:formatCode>
                <c:ptCount val="4"/>
                <c:pt idx="0">
                  <c:v>10.791792897886888</c:v>
                </c:pt>
                <c:pt idx="1">
                  <c:v>21.232547188751354</c:v>
                </c:pt>
                <c:pt idx="2">
                  <c:v>16.627463358212143</c:v>
                </c:pt>
                <c:pt idx="3">
                  <c:v>11.405678177284047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A7-4111-9C85-E338999877C6}"/>
            </c:ext>
          </c:extLst>
        </c:ser>
        <c:ser>
          <c:idx val="3"/>
          <c:order val="3"/>
          <c:tx>
            <c:strRef>
              <c:f>'RQ mix'!$Y$76</c:f>
              <c:strCache>
                <c:ptCount val="1"/>
                <c:pt idx="0">
                  <c:v>Norfloxacin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'RQ mix'!$U$77:$U$80</c:f>
              <c:strCache>
                <c:ptCount val="4"/>
                <c:pt idx="0">
                  <c:v>R</c:v>
                </c:pt>
                <c:pt idx="1">
                  <c:v>Tn</c:v>
                </c:pt>
                <c:pt idx="2">
                  <c:v>A</c:v>
                </c:pt>
                <c:pt idx="3">
                  <c:v>Tk</c:v>
                </c:pt>
              </c:strCache>
            </c:strRef>
          </c:cat>
          <c:val>
            <c:numRef>
              <c:f>'RQ mix'!$Y$77:$Y$80</c:f>
              <c:numCache>
                <c:formatCode>0</c:formatCode>
                <c:ptCount val="4"/>
                <c:pt idx="0">
                  <c:v>4.3705172467208619</c:v>
                </c:pt>
                <c:pt idx="1">
                  <c:v>18.595890535967843</c:v>
                </c:pt>
                <c:pt idx="2">
                  <c:v>30.246829807266618</c:v>
                </c:pt>
                <c:pt idx="3">
                  <c:v>23.675982729287693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A7-4111-9C85-E338999877C6}"/>
            </c:ext>
          </c:extLst>
        </c:ser>
        <c:ser>
          <c:idx val="4"/>
          <c:order val="4"/>
          <c:tx>
            <c:strRef>
              <c:f>'RQ mix'!$Z$76</c:f>
              <c:strCache>
                <c:ptCount val="1"/>
                <c:pt idx="0">
                  <c:v>Tetracycline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'RQ mix'!$U$77:$U$80</c:f>
              <c:strCache>
                <c:ptCount val="4"/>
                <c:pt idx="0">
                  <c:v>R</c:v>
                </c:pt>
                <c:pt idx="1">
                  <c:v>Tn</c:v>
                </c:pt>
                <c:pt idx="2">
                  <c:v>A</c:v>
                </c:pt>
                <c:pt idx="3">
                  <c:v>Tk</c:v>
                </c:pt>
              </c:strCache>
            </c:strRef>
          </c:cat>
          <c:val>
            <c:numRef>
              <c:f>'RQ mix'!$Z$77:$Z$80</c:f>
              <c:numCache>
                <c:formatCode>0</c:formatCode>
                <c:ptCount val="4"/>
                <c:pt idx="0">
                  <c:v>70.111451694429391</c:v>
                </c:pt>
                <c:pt idx="1">
                  <c:v>24.500553014568194</c:v>
                </c:pt>
                <c:pt idx="2">
                  <c:v>28.575306063659337</c:v>
                </c:pt>
                <c:pt idx="3">
                  <c:v>51.513010678451025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A7-4111-9C85-E338999877C6}"/>
            </c:ext>
          </c:extLst>
        </c:ser>
        <c:ser>
          <c:idx val="5"/>
          <c:order val="5"/>
          <c:tx>
            <c:strRef>
              <c:f>'RQ mix'!$AA$76</c:f>
              <c:strCache>
                <c:ptCount val="1"/>
                <c:pt idx="0">
                  <c:v>Clindamycin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'RQ mix'!$U$77:$U$80</c:f>
              <c:strCache>
                <c:ptCount val="4"/>
                <c:pt idx="0">
                  <c:v>R</c:v>
                </c:pt>
                <c:pt idx="1">
                  <c:v>Tn</c:v>
                </c:pt>
                <c:pt idx="2">
                  <c:v>A</c:v>
                </c:pt>
                <c:pt idx="3">
                  <c:v>Tk</c:v>
                </c:pt>
              </c:strCache>
            </c:strRef>
          </c:cat>
          <c:val>
            <c:numRef>
              <c:f>'RQ mix'!$AA$77:$AA$80</c:f>
              <c:numCache>
                <c:formatCode>0</c:formatCode>
                <c:ptCount val="4"/>
                <c:pt idx="0">
                  <c:v>0.56790712005218502</c:v>
                </c:pt>
                <c:pt idx="1">
                  <c:v>0.40459494876858443</c:v>
                </c:pt>
                <c:pt idx="2">
                  <c:v>0.58863527660151216</c:v>
                </c:pt>
                <c:pt idx="3">
                  <c:v>0.61568295184449362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7A7-4111-9C85-E338999877C6}"/>
            </c:ext>
          </c:extLst>
        </c:ser>
        <c:ser>
          <c:idx val="6"/>
          <c:order val="6"/>
          <c:tx>
            <c:strRef>
              <c:f>'RQ mix'!$AB$76</c:f>
              <c:strCache>
                <c:ptCount val="1"/>
                <c:pt idx="0">
                  <c:v>Ofloxacin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'RQ mix'!$U$77:$U$80</c:f>
              <c:strCache>
                <c:ptCount val="4"/>
                <c:pt idx="0">
                  <c:v>R</c:v>
                </c:pt>
                <c:pt idx="1">
                  <c:v>Tn</c:v>
                </c:pt>
                <c:pt idx="2">
                  <c:v>A</c:v>
                </c:pt>
                <c:pt idx="3">
                  <c:v>Tk</c:v>
                </c:pt>
              </c:strCache>
            </c:strRef>
          </c:cat>
          <c:val>
            <c:numRef>
              <c:f>'RQ mix'!$AB$77:$AB$80</c:f>
              <c:numCache>
                <c:formatCode>0</c:formatCode>
                <c:ptCount val="4"/>
                <c:pt idx="0">
                  <c:v>12.24925502688532</c:v>
                </c:pt>
                <c:pt idx="1">
                  <c:v>33.932827893835807</c:v>
                </c:pt>
                <c:pt idx="2">
                  <c:v>18.596949272483535</c:v>
                </c:pt>
                <c:pt idx="3">
                  <c:v>11.8283139538868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7A7-4111-9C85-E33899987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4180991"/>
        <c:axId val="454181471"/>
      </c:barChart>
      <c:catAx>
        <c:axId val="4541809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54181471"/>
        <c:crosses val="autoZero"/>
        <c:auto val="1"/>
        <c:lblAlgn val="ctr"/>
        <c:lblOffset val="100"/>
        <c:noMultiLvlLbl val="0"/>
      </c:catAx>
      <c:valAx>
        <c:axId val="454181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54180991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6684601924759409E-2"/>
          <c:y val="0.82291557305336838"/>
          <c:w val="0.90885301837270338"/>
          <c:h val="0.149306649168853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'RQ mix'!$E$105</c:f>
              <c:strCache>
                <c:ptCount val="1"/>
                <c:pt idx="0">
                  <c:v>Cd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'RQ mix'!$D$106:$D$109</c:f>
              <c:strCache>
                <c:ptCount val="4"/>
                <c:pt idx="0">
                  <c:v>R</c:v>
                </c:pt>
                <c:pt idx="1">
                  <c:v>Tn</c:v>
                </c:pt>
                <c:pt idx="2">
                  <c:v>A</c:v>
                </c:pt>
                <c:pt idx="3">
                  <c:v>Tk</c:v>
                </c:pt>
              </c:strCache>
            </c:strRef>
          </c:cat>
          <c:val>
            <c:numRef>
              <c:f>'RQ mix'!$E$106:$E$109</c:f>
              <c:numCache>
                <c:formatCode>0</c:formatCode>
                <c:ptCount val="4"/>
                <c:pt idx="0">
                  <c:v>13.23677123832776</c:v>
                </c:pt>
                <c:pt idx="1">
                  <c:v>14.469493292541291</c:v>
                </c:pt>
                <c:pt idx="2">
                  <c:v>10.310765411853492</c:v>
                </c:pt>
                <c:pt idx="3">
                  <c:v>7.2193703839741801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E0-46AA-BB98-54DBB4927532}"/>
            </c:ext>
          </c:extLst>
        </c:ser>
        <c:ser>
          <c:idx val="1"/>
          <c:order val="1"/>
          <c:tx>
            <c:strRef>
              <c:f>'RQ mix'!$F$105</c:f>
              <c:strCache>
                <c:ptCount val="1"/>
                <c:pt idx="0">
                  <c:v>Cr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'RQ mix'!$D$106:$D$109</c:f>
              <c:strCache>
                <c:ptCount val="4"/>
                <c:pt idx="0">
                  <c:v>R</c:v>
                </c:pt>
                <c:pt idx="1">
                  <c:v>Tn</c:v>
                </c:pt>
                <c:pt idx="2">
                  <c:v>A</c:v>
                </c:pt>
                <c:pt idx="3">
                  <c:v>Tk</c:v>
                </c:pt>
              </c:strCache>
            </c:strRef>
          </c:cat>
          <c:val>
            <c:numRef>
              <c:f>'RQ mix'!$F$106:$F$109</c:f>
              <c:numCache>
                <c:formatCode>0</c:formatCode>
                <c:ptCount val="4"/>
                <c:pt idx="0">
                  <c:v>22.152556644320871</c:v>
                </c:pt>
                <c:pt idx="1">
                  <c:v>24.724153651609743</c:v>
                </c:pt>
                <c:pt idx="2">
                  <c:v>24.679793654094507</c:v>
                </c:pt>
                <c:pt idx="3">
                  <c:v>27.161145644129775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E0-46AA-BB98-54DBB4927532}"/>
            </c:ext>
          </c:extLst>
        </c:ser>
        <c:ser>
          <c:idx val="2"/>
          <c:order val="2"/>
          <c:tx>
            <c:strRef>
              <c:f>'RQ mix'!$G$105</c:f>
              <c:strCache>
                <c:ptCount val="1"/>
                <c:pt idx="0">
                  <c:v>Cu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'RQ mix'!$D$106:$D$109</c:f>
              <c:strCache>
                <c:ptCount val="4"/>
                <c:pt idx="0">
                  <c:v>R</c:v>
                </c:pt>
                <c:pt idx="1">
                  <c:v>Tn</c:v>
                </c:pt>
                <c:pt idx="2">
                  <c:v>A</c:v>
                </c:pt>
                <c:pt idx="3">
                  <c:v>Tk</c:v>
                </c:pt>
              </c:strCache>
            </c:strRef>
          </c:cat>
          <c:val>
            <c:numRef>
              <c:f>'RQ mix'!$G$106:$G$109</c:f>
              <c:numCache>
                <c:formatCode>0</c:formatCode>
                <c:ptCount val="4"/>
                <c:pt idx="0">
                  <c:v>4.4392292159799558</c:v>
                </c:pt>
                <c:pt idx="1">
                  <c:v>7.3090464907690418</c:v>
                </c:pt>
                <c:pt idx="2">
                  <c:v>4.2229899930883859</c:v>
                </c:pt>
                <c:pt idx="3">
                  <c:v>4.8826865969718849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E0-46AA-BB98-54DBB4927532}"/>
            </c:ext>
          </c:extLst>
        </c:ser>
        <c:ser>
          <c:idx val="3"/>
          <c:order val="3"/>
          <c:tx>
            <c:strRef>
              <c:f>'RQ mix'!$H$105</c:f>
              <c:strCache>
                <c:ptCount val="1"/>
                <c:pt idx="0">
                  <c:v>Ni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'RQ mix'!$D$106:$D$109</c:f>
              <c:strCache>
                <c:ptCount val="4"/>
                <c:pt idx="0">
                  <c:v>R</c:v>
                </c:pt>
                <c:pt idx="1">
                  <c:v>Tn</c:v>
                </c:pt>
                <c:pt idx="2">
                  <c:v>A</c:v>
                </c:pt>
                <c:pt idx="3">
                  <c:v>Tk</c:v>
                </c:pt>
              </c:strCache>
            </c:strRef>
          </c:cat>
          <c:val>
            <c:numRef>
              <c:f>'RQ mix'!$H$106:$H$109</c:f>
              <c:numCache>
                <c:formatCode>0</c:formatCode>
                <c:ptCount val="4"/>
                <c:pt idx="0">
                  <c:v>1.2792111003459259</c:v>
                </c:pt>
                <c:pt idx="1">
                  <c:v>1.4836803747853897</c:v>
                </c:pt>
                <c:pt idx="2">
                  <c:v>1.3563200501468884</c:v>
                </c:pt>
                <c:pt idx="3">
                  <c:v>2.3262828417616825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E0-46AA-BB98-54DBB4927532}"/>
            </c:ext>
          </c:extLst>
        </c:ser>
        <c:ser>
          <c:idx val="4"/>
          <c:order val="4"/>
          <c:tx>
            <c:strRef>
              <c:f>'RQ mix'!$I$105</c:f>
              <c:strCache>
                <c:ptCount val="1"/>
                <c:pt idx="0">
                  <c:v>Pb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'RQ mix'!$D$106:$D$109</c:f>
              <c:strCache>
                <c:ptCount val="4"/>
                <c:pt idx="0">
                  <c:v>R</c:v>
                </c:pt>
                <c:pt idx="1">
                  <c:v>Tn</c:v>
                </c:pt>
                <c:pt idx="2">
                  <c:v>A</c:v>
                </c:pt>
                <c:pt idx="3">
                  <c:v>Tk</c:v>
                </c:pt>
              </c:strCache>
            </c:strRef>
          </c:cat>
          <c:val>
            <c:numRef>
              <c:f>'RQ mix'!$I$106:$I$109</c:f>
              <c:numCache>
                <c:formatCode>0</c:formatCode>
                <c:ptCount val="4"/>
                <c:pt idx="0">
                  <c:v>0.25937240837827868</c:v>
                </c:pt>
                <c:pt idx="1">
                  <c:v>0.2847315063669541</c:v>
                </c:pt>
                <c:pt idx="2">
                  <c:v>0.37353473348292998</c:v>
                </c:pt>
                <c:pt idx="3">
                  <c:v>0.16429252991518628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E0-46AA-BB98-54DBB4927532}"/>
            </c:ext>
          </c:extLst>
        </c:ser>
        <c:ser>
          <c:idx val="5"/>
          <c:order val="5"/>
          <c:tx>
            <c:strRef>
              <c:f>'RQ mix'!$J$105</c:f>
              <c:strCache>
                <c:ptCount val="1"/>
                <c:pt idx="0">
                  <c:v>Zn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'RQ mix'!$D$106:$D$109</c:f>
              <c:strCache>
                <c:ptCount val="4"/>
                <c:pt idx="0">
                  <c:v>R</c:v>
                </c:pt>
                <c:pt idx="1">
                  <c:v>Tn</c:v>
                </c:pt>
                <c:pt idx="2">
                  <c:v>A</c:v>
                </c:pt>
                <c:pt idx="3">
                  <c:v>Tk</c:v>
                </c:pt>
              </c:strCache>
            </c:strRef>
          </c:cat>
          <c:val>
            <c:numRef>
              <c:f>'RQ mix'!$J$106:$J$109</c:f>
              <c:numCache>
                <c:formatCode>0</c:formatCode>
                <c:ptCount val="4"/>
                <c:pt idx="0">
                  <c:v>58.632859392647205</c:v>
                </c:pt>
                <c:pt idx="1">
                  <c:v>51.728894683927564</c:v>
                </c:pt>
                <c:pt idx="2">
                  <c:v>59.0565961573338</c:v>
                </c:pt>
                <c:pt idx="3">
                  <c:v>58.24622200324729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9E0-46AA-BB98-54DBB4927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7574223"/>
        <c:axId val="597577583"/>
      </c:barChart>
      <c:catAx>
        <c:axId val="59757422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7577583"/>
        <c:crosses val="autoZero"/>
        <c:auto val="1"/>
        <c:lblAlgn val="ctr"/>
        <c:lblOffset val="100"/>
        <c:noMultiLvlLbl val="0"/>
      </c:catAx>
      <c:valAx>
        <c:axId val="5975775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75742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509445721939624"/>
          <c:y val="0.89409667541557303"/>
          <c:w val="0.75964392725245622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'RQ mix'!$N$105</c:f>
              <c:strCache>
                <c:ptCount val="1"/>
                <c:pt idx="0">
                  <c:v>Cd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'RQ mix'!$M$106:$M$109</c:f>
              <c:strCache>
                <c:ptCount val="4"/>
                <c:pt idx="0">
                  <c:v>R</c:v>
                </c:pt>
                <c:pt idx="1">
                  <c:v>Tn</c:v>
                </c:pt>
                <c:pt idx="2">
                  <c:v>A</c:v>
                </c:pt>
                <c:pt idx="3">
                  <c:v>Tk</c:v>
                </c:pt>
              </c:strCache>
            </c:strRef>
          </c:cat>
          <c:val>
            <c:numRef>
              <c:f>'RQ mix'!$N$106:$N$109</c:f>
              <c:numCache>
                <c:formatCode>0</c:formatCode>
                <c:ptCount val="4"/>
                <c:pt idx="0">
                  <c:v>0.12109391744181061</c:v>
                </c:pt>
                <c:pt idx="1">
                  <c:v>0.13065735643755219</c:v>
                </c:pt>
                <c:pt idx="2">
                  <c:v>9.3106100473626691E-2</c:v>
                </c:pt>
                <c:pt idx="3">
                  <c:v>6.4432457437405527E-2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59-43D2-A10F-3C280CB1E148}"/>
            </c:ext>
          </c:extLst>
        </c:ser>
        <c:ser>
          <c:idx val="1"/>
          <c:order val="1"/>
          <c:tx>
            <c:strRef>
              <c:f>'RQ mix'!$O$105</c:f>
              <c:strCache>
                <c:ptCount val="1"/>
                <c:pt idx="0">
                  <c:v>Cr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'RQ mix'!$M$106:$M$109</c:f>
              <c:strCache>
                <c:ptCount val="4"/>
                <c:pt idx="0">
                  <c:v>R</c:v>
                </c:pt>
                <c:pt idx="1">
                  <c:v>Tn</c:v>
                </c:pt>
                <c:pt idx="2">
                  <c:v>A</c:v>
                </c:pt>
                <c:pt idx="3">
                  <c:v>Tk</c:v>
                </c:pt>
              </c:strCache>
            </c:strRef>
          </c:cat>
          <c:val>
            <c:numRef>
              <c:f>'RQ mix'!$O$106:$O$109</c:f>
              <c:numCache>
                <c:formatCode>0</c:formatCode>
                <c:ptCount val="4"/>
                <c:pt idx="0">
                  <c:v>3.6028119507908611</c:v>
                </c:pt>
                <c:pt idx="1">
                  <c:v>3.9689849422751515</c:v>
                </c:pt>
                <c:pt idx="2">
                  <c:v>3.9619248095951334</c:v>
                </c:pt>
                <c:pt idx="3">
                  <c:v>4.3095401339864692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59-43D2-A10F-3C280CB1E148}"/>
            </c:ext>
          </c:extLst>
        </c:ser>
        <c:ser>
          <c:idx val="2"/>
          <c:order val="2"/>
          <c:tx>
            <c:strRef>
              <c:f>'RQ mix'!$P$105</c:f>
              <c:strCache>
                <c:ptCount val="1"/>
                <c:pt idx="0">
                  <c:v>Cu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'RQ mix'!$M$106:$M$109</c:f>
              <c:strCache>
                <c:ptCount val="4"/>
                <c:pt idx="0">
                  <c:v>R</c:v>
                </c:pt>
                <c:pt idx="1">
                  <c:v>Tn</c:v>
                </c:pt>
                <c:pt idx="2">
                  <c:v>A</c:v>
                </c:pt>
                <c:pt idx="3">
                  <c:v>Tk</c:v>
                </c:pt>
              </c:strCache>
            </c:strRef>
          </c:cat>
          <c:val>
            <c:numRef>
              <c:f>'RQ mix'!$P$106:$P$109</c:f>
              <c:numCache>
                <c:formatCode>0</c:formatCode>
                <c:ptCount val="4"/>
                <c:pt idx="0">
                  <c:v>14.665223541514854</c:v>
                </c:pt>
                <c:pt idx="1">
                  <c:v>23.833186968535138</c:v>
                </c:pt>
                <c:pt idx="2">
                  <c:v>13.770450089925456</c:v>
                </c:pt>
                <c:pt idx="3">
                  <c:v>15.736388643366348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59-43D2-A10F-3C280CB1E148}"/>
            </c:ext>
          </c:extLst>
        </c:ser>
        <c:ser>
          <c:idx val="3"/>
          <c:order val="3"/>
          <c:tx>
            <c:strRef>
              <c:f>'RQ mix'!$Q$105</c:f>
              <c:strCache>
                <c:ptCount val="1"/>
                <c:pt idx="0">
                  <c:v>Ni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'RQ mix'!$M$106:$M$109</c:f>
              <c:strCache>
                <c:ptCount val="4"/>
                <c:pt idx="0">
                  <c:v>R</c:v>
                </c:pt>
                <c:pt idx="1">
                  <c:v>Tn</c:v>
                </c:pt>
                <c:pt idx="2">
                  <c:v>A</c:v>
                </c:pt>
                <c:pt idx="3">
                  <c:v>Tk</c:v>
                </c:pt>
              </c:strCache>
            </c:strRef>
          </c:cat>
          <c:val>
            <c:numRef>
              <c:f>'RQ mix'!$Q$106:$Q$109</c:f>
              <c:numCache>
                <c:formatCode>0</c:formatCode>
                <c:ptCount val="4"/>
                <c:pt idx="0">
                  <c:v>1.9439324445968538</c:v>
                </c:pt>
                <c:pt idx="1">
                  <c:v>2.2254589071904385</c:v>
                </c:pt>
                <c:pt idx="2">
                  <c:v>2.0344550401628489</c:v>
                </c:pt>
                <c:pt idx="3">
                  <c:v>3.4487885871944624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59-43D2-A10F-3C280CB1E148}"/>
            </c:ext>
          </c:extLst>
        </c:ser>
        <c:ser>
          <c:idx val="4"/>
          <c:order val="4"/>
          <c:tx>
            <c:strRef>
              <c:f>'RQ mix'!$R$105</c:f>
              <c:strCache>
                <c:ptCount val="1"/>
                <c:pt idx="0">
                  <c:v>Pb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'RQ mix'!$M$106:$M$109</c:f>
              <c:strCache>
                <c:ptCount val="4"/>
                <c:pt idx="0">
                  <c:v>R</c:v>
                </c:pt>
                <c:pt idx="1">
                  <c:v>Tn</c:v>
                </c:pt>
                <c:pt idx="2">
                  <c:v>A</c:v>
                </c:pt>
                <c:pt idx="3">
                  <c:v>Tk</c:v>
                </c:pt>
              </c:strCache>
            </c:strRef>
          </c:cat>
          <c:val>
            <c:numRef>
              <c:f>'RQ mix'!$R$106:$R$109</c:f>
              <c:numCache>
                <c:formatCode>0</c:formatCode>
                <c:ptCount val="4"/>
                <c:pt idx="0">
                  <c:v>2.1882635346564365</c:v>
                </c:pt>
                <c:pt idx="1">
                  <c:v>2.3711097307601685</c:v>
                </c:pt>
                <c:pt idx="2">
                  <c:v>3.1106690338362606</c:v>
                </c:pt>
                <c:pt idx="3">
                  <c:v>1.3522555490388828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59-43D2-A10F-3C280CB1E148}"/>
            </c:ext>
          </c:extLst>
        </c:ser>
        <c:ser>
          <c:idx val="5"/>
          <c:order val="5"/>
          <c:tx>
            <c:strRef>
              <c:f>'RQ mix'!$S$105</c:f>
              <c:strCache>
                <c:ptCount val="1"/>
                <c:pt idx="0">
                  <c:v>Zn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'RQ mix'!$M$106:$M$109</c:f>
              <c:strCache>
                <c:ptCount val="4"/>
                <c:pt idx="0">
                  <c:v>R</c:v>
                </c:pt>
                <c:pt idx="1">
                  <c:v>Tn</c:v>
                </c:pt>
                <c:pt idx="2">
                  <c:v>A</c:v>
                </c:pt>
                <c:pt idx="3">
                  <c:v>Tk</c:v>
                </c:pt>
              </c:strCache>
            </c:strRef>
          </c:cat>
          <c:val>
            <c:numRef>
              <c:f>'RQ mix'!$S$106:$S$109</c:f>
              <c:numCache>
                <c:formatCode>0</c:formatCode>
                <c:ptCount val="4"/>
                <c:pt idx="0">
                  <c:v>77.478674610999178</c:v>
                </c:pt>
                <c:pt idx="1">
                  <c:v>67.470602094801549</c:v>
                </c:pt>
                <c:pt idx="2">
                  <c:v>77.029394926006674</c:v>
                </c:pt>
                <c:pt idx="3">
                  <c:v>75.088594628976423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259-43D2-A10F-3C280CB1E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3198319"/>
        <c:axId val="603200719"/>
      </c:barChart>
      <c:catAx>
        <c:axId val="6031983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03200719"/>
        <c:crosses val="autoZero"/>
        <c:auto val="1"/>
        <c:lblAlgn val="ctr"/>
        <c:lblOffset val="100"/>
        <c:noMultiLvlLbl val="0"/>
      </c:catAx>
      <c:valAx>
        <c:axId val="6032007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03198319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327660</xdr:colOff>
      <xdr:row>93</xdr:row>
      <xdr:rowOff>49530</xdr:rowOff>
    </xdr:from>
    <xdr:to>
      <xdr:col>26</xdr:col>
      <xdr:colOff>22860</xdr:colOff>
      <xdr:row>108</xdr:row>
      <xdr:rowOff>49530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155D4AE6-6935-89BD-6F00-3C36D9107C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373380</xdr:colOff>
      <xdr:row>27</xdr:row>
      <xdr:rowOff>110490</xdr:rowOff>
    </xdr:from>
    <xdr:to>
      <xdr:col>22</xdr:col>
      <xdr:colOff>68580</xdr:colOff>
      <xdr:row>42</xdr:row>
      <xdr:rowOff>110490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75FCFB69-27AB-1387-151C-C793758A30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373380</xdr:colOff>
      <xdr:row>43</xdr:row>
      <xdr:rowOff>26670</xdr:rowOff>
    </xdr:from>
    <xdr:to>
      <xdr:col>22</xdr:col>
      <xdr:colOff>30480</xdr:colOff>
      <xdr:row>58</xdr:row>
      <xdr:rowOff>26670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F6F190F4-A661-C0B6-4FC0-08D8AA2C37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69</xdr:row>
      <xdr:rowOff>95250</xdr:rowOff>
    </xdr:from>
    <xdr:to>
      <xdr:col>11</xdr:col>
      <xdr:colOff>10886</xdr:colOff>
      <xdr:row>84</xdr:row>
      <xdr:rowOff>95250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B554A56B-A2E3-4895-6105-06BA07227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85</xdr:row>
      <xdr:rowOff>80010</xdr:rowOff>
    </xdr:from>
    <xdr:to>
      <xdr:col>11</xdr:col>
      <xdr:colOff>38100</xdr:colOff>
      <xdr:row>100</xdr:row>
      <xdr:rowOff>80010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id="{457C85EF-03D2-7A82-5D49-8DBB2057D0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548640</xdr:colOff>
      <xdr:row>81</xdr:row>
      <xdr:rowOff>26670</xdr:rowOff>
    </xdr:from>
    <xdr:to>
      <xdr:col>18</xdr:col>
      <xdr:colOff>571500</xdr:colOff>
      <xdr:row>96</xdr:row>
      <xdr:rowOff>26670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269243A4-BED3-5ADE-8664-8DD083C195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114300</xdr:colOff>
      <xdr:row>80</xdr:row>
      <xdr:rowOff>140970</xdr:rowOff>
    </xdr:from>
    <xdr:to>
      <xdr:col>27</xdr:col>
      <xdr:colOff>419100</xdr:colOff>
      <xdr:row>95</xdr:row>
      <xdr:rowOff>140970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B47A0E21-69B0-369F-42C6-29FDCC36ED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495300</xdr:colOff>
      <xdr:row>109</xdr:row>
      <xdr:rowOff>148590</xdr:rowOff>
    </xdr:from>
    <xdr:to>
      <xdr:col>11</xdr:col>
      <xdr:colOff>175260</xdr:colOff>
      <xdr:row>124</xdr:row>
      <xdr:rowOff>148590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A4D2C603-6541-EC82-4C6D-040BD8736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571500</xdr:colOff>
      <xdr:row>109</xdr:row>
      <xdr:rowOff>156210</xdr:rowOff>
    </xdr:from>
    <xdr:to>
      <xdr:col>19</xdr:col>
      <xdr:colOff>266700</xdr:colOff>
      <xdr:row>124</xdr:row>
      <xdr:rowOff>156210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F7CFA9E3-471C-F352-9D3B-3C8F09F92F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81ADE-A20E-4BF4-8541-EFD7F8722291}">
  <dimension ref="B2:V131"/>
  <sheetViews>
    <sheetView topLeftCell="B53" workbookViewId="0">
      <selection activeCell="J101" sqref="J101"/>
    </sheetView>
  </sheetViews>
  <sheetFormatPr defaultRowHeight="14.4" x14ac:dyDescent="0.3"/>
  <cols>
    <col min="2" max="2" width="30.44140625" customWidth="1"/>
    <col min="13" max="13" width="11.109375" customWidth="1"/>
    <col min="14" max="14" width="10.88671875" customWidth="1"/>
    <col min="20" max="20" width="14.5546875" customWidth="1"/>
  </cols>
  <sheetData>
    <row r="2" spans="2:21" x14ac:dyDescent="0.3">
      <c r="B2" s="1" t="s">
        <v>0</v>
      </c>
      <c r="C2" s="2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  <c r="S2" s="3" t="s">
        <v>17</v>
      </c>
      <c r="T2" s="3" t="s">
        <v>18</v>
      </c>
      <c r="U2" s="3" t="s">
        <v>19</v>
      </c>
    </row>
    <row r="3" spans="2:21" x14ac:dyDescent="0.3">
      <c r="B3" s="6" t="s">
        <v>20</v>
      </c>
      <c r="C3" s="4">
        <v>50.126666666666665</v>
      </c>
      <c r="D3" s="4">
        <v>281.48333333333335</v>
      </c>
      <c r="E3" s="4">
        <v>10.130000000000001</v>
      </c>
      <c r="F3" s="4">
        <v>21.020297149914008</v>
      </c>
      <c r="G3" s="4">
        <v>1.5872359791531627</v>
      </c>
      <c r="H3" s="4">
        <v>45.923576049275759</v>
      </c>
      <c r="I3" s="4">
        <v>223.87466251491253</v>
      </c>
      <c r="J3" s="4">
        <v>31.448582386786047</v>
      </c>
      <c r="K3" s="4">
        <v>2.6573015654313616</v>
      </c>
      <c r="L3" s="4">
        <v>4.0778897338846001</v>
      </c>
      <c r="M3" s="4">
        <v>263.71263105628964</v>
      </c>
      <c r="N3" s="4">
        <v>965.44302394086833</v>
      </c>
      <c r="O3" s="4">
        <v>22.052491783640413</v>
      </c>
      <c r="P3" s="4">
        <v>16.761131816250234</v>
      </c>
      <c r="Q3" s="4">
        <v>53.908100016854164</v>
      </c>
      <c r="R3" s="4">
        <v>1312.5267772794134</v>
      </c>
      <c r="S3">
        <v>6.93</v>
      </c>
      <c r="T3">
        <v>6.37</v>
      </c>
      <c r="U3">
        <v>8830</v>
      </c>
    </row>
    <row r="4" spans="2:21" x14ac:dyDescent="0.3">
      <c r="B4" s="6" t="s">
        <v>21</v>
      </c>
      <c r="C4" s="4">
        <v>45.143333333333338</v>
      </c>
      <c r="D4" s="4">
        <v>415.94333333333333</v>
      </c>
      <c r="E4" s="4">
        <v>11.506666666666668</v>
      </c>
      <c r="F4" s="4">
        <v>21.264662287174716</v>
      </c>
      <c r="G4" s="4">
        <v>1.4669184518075011</v>
      </c>
      <c r="H4" s="4">
        <v>22.08322981516163</v>
      </c>
      <c r="I4" s="4">
        <v>126.61842471223328</v>
      </c>
      <c r="J4" s="4">
        <v>6.4927877647442838</v>
      </c>
      <c r="K4" s="4">
        <v>2.1158894434920406</v>
      </c>
      <c r="L4" s="4">
        <v>3.2813856837684412</v>
      </c>
      <c r="M4" s="4">
        <v>111.78363647229443</v>
      </c>
      <c r="N4" s="4">
        <v>492.73176867495329</v>
      </c>
      <c r="O4" s="4">
        <v>12.613548839103554</v>
      </c>
      <c r="P4" s="4">
        <v>4.5879925660835639</v>
      </c>
      <c r="Q4" s="4">
        <v>29.193785710306134</v>
      </c>
      <c r="R4" s="4">
        <v>686.17873291026251</v>
      </c>
      <c r="S4">
        <v>7.48</v>
      </c>
      <c r="T4">
        <v>7.37</v>
      </c>
      <c r="U4">
        <v>7450</v>
      </c>
    </row>
    <row r="5" spans="2:21" x14ac:dyDescent="0.3">
      <c r="B5" s="6" t="s">
        <v>22</v>
      </c>
      <c r="C5" s="4">
        <v>48.546666666666667</v>
      </c>
      <c r="D5" s="4">
        <v>429.60666666666663</v>
      </c>
      <c r="E5" s="4">
        <v>26.563333333333333</v>
      </c>
      <c r="F5" s="4">
        <v>29.460097829082976</v>
      </c>
      <c r="G5" s="4">
        <v>0.76863830395602417</v>
      </c>
      <c r="H5" s="4">
        <v>53.777642339943725</v>
      </c>
      <c r="I5" s="4">
        <v>181.3180046253388</v>
      </c>
      <c r="J5" s="4">
        <v>6.6638967821844242</v>
      </c>
      <c r="K5" s="4">
        <v>3.0068871181967443</v>
      </c>
      <c r="L5" s="4">
        <v>2.2312907427395943</v>
      </c>
      <c r="M5" s="4">
        <v>95.639517237065647</v>
      </c>
      <c r="N5" s="4">
        <v>1281.1548581388547</v>
      </c>
      <c r="O5" s="4">
        <v>50.150161778904383</v>
      </c>
      <c r="P5" s="4">
        <v>9.2757162561102184</v>
      </c>
      <c r="Q5" s="4">
        <v>22.479586699822484</v>
      </c>
      <c r="R5" s="4">
        <v>917.58937235808412</v>
      </c>
      <c r="S5">
        <v>12.49</v>
      </c>
      <c r="T5">
        <v>12.44</v>
      </c>
      <c r="U5">
        <v>10800</v>
      </c>
    </row>
    <row r="6" spans="2:21" x14ac:dyDescent="0.3">
      <c r="B6" s="6" t="s">
        <v>23</v>
      </c>
      <c r="C6" s="4">
        <v>38.340000000000003</v>
      </c>
      <c r="D6" s="4">
        <v>276.05</v>
      </c>
      <c r="E6" s="4">
        <v>3.3566666666666665</v>
      </c>
      <c r="F6" s="4">
        <v>109.45790100726279</v>
      </c>
      <c r="G6" s="4">
        <v>0.61865898239390837</v>
      </c>
      <c r="H6" s="4">
        <v>10.896375768723333</v>
      </c>
      <c r="I6" s="4">
        <v>119.76660157379527</v>
      </c>
      <c r="J6" s="4">
        <v>3.792086065158021</v>
      </c>
      <c r="K6" s="4">
        <v>2.3169931050105763</v>
      </c>
      <c r="L6" s="4">
        <v>3.2900671125128835</v>
      </c>
      <c r="M6" s="4">
        <v>200.175431720787</v>
      </c>
      <c r="N6" s="4">
        <v>542.14861492446539</v>
      </c>
      <c r="O6" s="4">
        <v>6.6215246292766494</v>
      </c>
      <c r="P6" s="4">
        <v>5.2889706850945588</v>
      </c>
      <c r="Q6" s="4">
        <v>9.9744094600212669</v>
      </c>
      <c r="R6" s="4">
        <v>315.4685159788321</v>
      </c>
      <c r="S6">
        <v>7.11</v>
      </c>
      <c r="T6" s="5" t="s">
        <v>24</v>
      </c>
      <c r="U6">
        <v>15010</v>
      </c>
    </row>
    <row r="7" spans="2:21" x14ac:dyDescent="0.3">
      <c r="B7" s="7" t="s">
        <v>25</v>
      </c>
      <c r="C7" s="4">
        <v>47.616666666666667</v>
      </c>
      <c r="D7" s="4">
        <v>305.32</v>
      </c>
      <c r="E7" s="4">
        <v>12.023333333333335</v>
      </c>
      <c r="F7" s="4">
        <v>30.344169046739989</v>
      </c>
      <c r="G7" s="4">
        <v>1.4988455748272045</v>
      </c>
      <c r="H7" s="4">
        <v>56.469972197937778</v>
      </c>
      <c r="I7" s="4">
        <v>221.09735981188931</v>
      </c>
      <c r="J7" s="4">
        <v>15.764296909218732</v>
      </c>
      <c r="K7" s="4">
        <v>2.58005216240289</v>
      </c>
      <c r="L7" s="4">
        <v>7.0237281318884586</v>
      </c>
      <c r="M7" s="4">
        <v>266.76350610335567</v>
      </c>
      <c r="N7" s="4">
        <v>1021.8354398139161</v>
      </c>
      <c r="O7" s="4">
        <v>27.961731602036103</v>
      </c>
      <c r="P7" s="4">
        <v>13.272611919608092</v>
      </c>
      <c r="Q7" s="4">
        <v>40.345114427147706</v>
      </c>
      <c r="R7" s="4">
        <v>1101.9998564726657</v>
      </c>
      <c r="S7">
        <v>5.63</v>
      </c>
      <c r="T7" s="5" t="s">
        <v>24</v>
      </c>
      <c r="U7">
        <v>16720</v>
      </c>
    </row>
    <row r="8" spans="2:21" x14ac:dyDescent="0.3">
      <c r="B8" s="7" t="s">
        <v>26</v>
      </c>
      <c r="C8" s="4">
        <v>52.103333333333332</v>
      </c>
      <c r="D8" s="4">
        <v>472.67333333333335</v>
      </c>
      <c r="E8" s="4">
        <v>7.88</v>
      </c>
      <c r="F8" s="4">
        <v>16.031140870081245</v>
      </c>
      <c r="G8" s="4">
        <v>0.87658550900318644</v>
      </c>
      <c r="H8" s="4">
        <v>15.720587752224512</v>
      </c>
      <c r="I8" s="4">
        <v>123.56026970010346</v>
      </c>
      <c r="J8" s="4">
        <v>3.1074128193229091</v>
      </c>
      <c r="K8" s="4">
        <v>1.7438750522802309</v>
      </c>
      <c r="L8" s="4">
        <v>2.1998925963770324</v>
      </c>
      <c r="M8" s="4">
        <v>65.371671426404163</v>
      </c>
      <c r="N8" s="4">
        <v>507.34888807713753</v>
      </c>
      <c r="O8" s="4">
        <v>8.5834830332563108</v>
      </c>
      <c r="P8" s="4">
        <v>4.6450926106574055</v>
      </c>
      <c r="Q8" s="4">
        <v>11.539684416923889</v>
      </c>
      <c r="R8" s="4">
        <v>551.79938633449274</v>
      </c>
      <c r="S8">
        <v>7.54</v>
      </c>
      <c r="T8" s="5" t="s">
        <v>24</v>
      </c>
      <c r="U8">
        <v>11210</v>
      </c>
    </row>
    <row r="9" spans="2:21" x14ac:dyDescent="0.3">
      <c r="B9" s="7" t="s">
        <v>27</v>
      </c>
      <c r="C9" s="4">
        <v>53.77</v>
      </c>
      <c r="D9" s="4">
        <v>421.14333333333337</v>
      </c>
      <c r="E9" s="4">
        <v>14.016666666666667</v>
      </c>
      <c r="F9" s="4">
        <v>29.140764112318976</v>
      </c>
      <c r="G9" s="4">
        <v>0.65993255671009254</v>
      </c>
      <c r="H9" s="4">
        <v>34.094524811166217</v>
      </c>
      <c r="I9" s="4">
        <v>175.73309753151221</v>
      </c>
      <c r="J9" s="4">
        <v>5.9777744887863324</v>
      </c>
      <c r="K9" s="4">
        <v>3.044726715506465</v>
      </c>
      <c r="L9" s="4">
        <v>2.8385635108218388</v>
      </c>
      <c r="M9" s="4">
        <v>77.831444249618727</v>
      </c>
      <c r="N9" s="4">
        <v>1472.1746844635497</v>
      </c>
      <c r="O9" s="4">
        <v>32.329919900583675</v>
      </c>
      <c r="P9" s="4">
        <v>10.013232671538608</v>
      </c>
      <c r="Q9" s="4">
        <v>14.114280893701451</v>
      </c>
      <c r="R9" s="4">
        <v>742.27769459663273</v>
      </c>
      <c r="S9">
        <v>12.38</v>
      </c>
      <c r="T9" s="5" t="s">
        <v>24</v>
      </c>
      <c r="U9">
        <v>8400</v>
      </c>
    </row>
    <row r="10" spans="2:21" x14ac:dyDescent="0.3">
      <c r="B10" s="7" t="s">
        <v>28</v>
      </c>
      <c r="C10" s="4">
        <v>37.218333333333334</v>
      </c>
      <c r="D10" s="4">
        <v>268.93166666666667</v>
      </c>
      <c r="E10" s="4">
        <v>3.7933333333333334</v>
      </c>
      <c r="F10" s="4">
        <v>98.952683506429878</v>
      </c>
      <c r="G10" s="4">
        <v>0.49973512919590979</v>
      </c>
      <c r="H10" s="4">
        <v>10.813702915889692</v>
      </c>
      <c r="I10" s="4">
        <v>94.432174450956069</v>
      </c>
      <c r="J10" s="4">
        <v>3.0642803958868599</v>
      </c>
      <c r="K10" s="4">
        <v>3.3699313309901</v>
      </c>
      <c r="L10" s="4">
        <v>3.9476691120591991</v>
      </c>
      <c r="M10" s="4">
        <v>184.24549699480784</v>
      </c>
      <c r="N10" s="4">
        <v>544.75435171314768</v>
      </c>
      <c r="O10" s="4">
        <v>5.288025747359054</v>
      </c>
      <c r="P10" s="4">
        <v>7.203602708741232</v>
      </c>
      <c r="Q10" s="4">
        <v>8.281111074097895</v>
      </c>
      <c r="R10" s="4">
        <v>229.67007150853289</v>
      </c>
    </row>
    <row r="11" spans="2:21" ht="72.599999999999994" thickBot="1" x14ac:dyDescent="0.35">
      <c r="B11" s="24" t="s">
        <v>46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9" t="s">
        <v>29</v>
      </c>
      <c r="T11" s="9" t="s">
        <v>30</v>
      </c>
    </row>
    <row r="12" spans="2:21" x14ac:dyDescent="0.3">
      <c r="B12" s="12" t="s">
        <v>39</v>
      </c>
      <c r="C12" s="13">
        <v>4.7149999999999999</v>
      </c>
      <c r="D12" s="13">
        <v>29.507000000000001</v>
      </c>
      <c r="E12" s="13">
        <v>0.14799999999999999</v>
      </c>
      <c r="F12" s="14">
        <v>131.08019397865854</v>
      </c>
      <c r="G12" s="14">
        <v>0.63099079173018291</v>
      </c>
      <c r="H12" s="14">
        <v>30.02978199314024</v>
      </c>
      <c r="I12" s="14">
        <v>116.27894059641767</v>
      </c>
      <c r="J12" s="14">
        <v>4.0026211304306392</v>
      </c>
      <c r="K12" s="14">
        <v>4.5539012776295733</v>
      </c>
      <c r="L12" s="14">
        <v>4.0739341301448171</v>
      </c>
      <c r="M12" s="14">
        <v>249.1999294969512</v>
      </c>
      <c r="N12" s="14">
        <v>785.49668254573157</v>
      </c>
      <c r="O12" s="14">
        <v>16.84567977801067</v>
      </c>
      <c r="P12" s="14">
        <v>13.690637638147866</v>
      </c>
      <c r="Q12" s="14">
        <v>14.916815239138717</v>
      </c>
      <c r="R12" s="15">
        <v>305.38036166158537</v>
      </c>
      <c r="S12">
        <v>100</v>
      </c>
      <c r="T12" s="11">
        <v>100</v>
      </c>
    </row>
    <row r="13" spans="2:21" x14ac:dyDescent="0.3">
      <c r="B13" s="16" t="s">
        <v>39</v>
      </c>
      <c r="C13" s="17">
        <v>4.7469999999999999</v>
      </c>
      <c r="D13" s="17">
        <v>29.456</v>
      </c>
      <c r="E13" s="17">
        <v>0.17</v>
      </c>
      <c r="F13" s="10">
        <v>138.11937476459508</v>
      </c>
      <c r="G13" s="10">
        <v>0.65895673870056493</v>
      </c>
      <c r="H13" s="10">
        <v>31.372040306026364</v>
      </c>
      <c r="I13" s="10">
        <v>120.78361177024482</v>
      </c>
      <c r="J13" s="10">
        <v>4.1351757066854988</v>
      </c>
      <c r="K13" s="10">
        <v>4.6981850885122407</v>
      </c>
      <c r="L13" s="10">
        <v>4.2605678531073448</v>
      </c>
      <c r="M13" s="10">
        <v>257.83752264595103</v>
      </c>
      <c r="N13" s="10">
        <v>796.99283615819195</v>
      </c>
      <c r="O13" s="10">
        <v>16.494935150659131</v>
      </c>
      <c r="P13" s="10">
        <v>14.166884792843691</v>
      </c>
      <c r="Q13" s="10">
        <v>15.214180687382299</v>
      </c>
      <c r="R13" s="18">
        <v>315.63402363465161</v>
      </c>
      <c r="S13">
        <v>100</v>
      </c>
      <c r="T13" s="11">
        <v>100</v>
      </c>
    </row>
    <row r="14" spans="2:21" x14ac:dyDescent="0.3">
      <c r="B14" s="16" t="s">
        <v>39</v>
      </c>
      <c r="C14" s="17">
        <v>4.6779999999999999</v>
      </c>
      <c r="D14" s="17">
        <v>29.457000000000001</v>
      </c>
      <c r="E14" s="17">
        <v>0.156</v>
      </c>
      <c r="F14" s="10">
        <v>137.66</v>
      </c>
      <c r="G14" s="10">
        <v>0.64</v>
      </c>
      <c r="H14" s="10">
        <v>30.89</v>
      </c>
      <c r="I14" s="10">
        <v>118.7893</v>
      </c>
      <c r="J14" s="10">
        <v>4.0122999999999998</v>
      </c>
      <c r="K14" s="10">
        <v>4.5896999999999997</v>
      </c>
      <c r="L14" s="10">
        <v>4.1672509916260809</v>
      </c>
      <c r="M14" s="10">
        <v>253.51872607145111</v>
      </c>
      <c r="N14" s="10">
        <v>791.24475935196176</v>
      </c>
      <c r="O14" s="10">
        <v>16.670307464334901</v>
      </c>
      <c r="P14" s="10">
        <v>13.928761215495779</v>
      </c>
      <c r="Q14" s="10">
        <v>15.065497963260508</v>
      </c>
      <c r="R14" s="18">
        <v>310.50719264811846</v>
      </c>
      <c r="S14">
        <v>100</v>
      </c>
      <c r="T14" s="11">
        <v>100</v>
      </c>
    </row>
    <row r="15" spans="2:21" x14ac:dyDescent="0.3">
      <c r="B15" s="28" t="s">
        <v>47</v>
      </c>
      <c r="C15" s="27">
        <f>AVERAGE(C12:C14)</f>
        <v>4.7133333333333338</v>
      </c>
      <c r="D15" s="27">
        <f t="shared" ref="D15:R15" si="0">AVERAGE(D12:D14)</f>
        <v>29.473333333333333</v>
      </c>
      <c r="E15" s="27">
        <f t="shared" si="0"/>
        <v>0.158</v>
      </c>
      <c r="F15" s="27">
        <f t="shared" si="0"/>
        <v>135.61985624775119</v>
      </c>
      <c r="G15" s="27">
        <f t="shared" si="0"/>
        <v>0.64331584347691606</v>
      </c>
      <c r="H15" s="27">
        <f t="shared" si="0"/>
        <v>30.763940766388867</v>
      </c>
      <c r="I15" s="27">
        <f t="shared" si="0"/>
        <v>118.61728412222082</v>
      </c>
      <c r="J15" s="27">
        <f t="shared" si="0"/>
        <v>4.0500322790387129</v>
      </c>
      <c r="K15" s="27">
        <f t="shared" si="0"/>
        <v>4.6139287887139382</v>
      </c>
      <c r="L15" s="27">
        <f t="shared" si="0"/>
        <v>4.1672509916260809</v>
      </c>
      <c r="M15" s="27">
        <f t="shared" si="0"/>
        <v>253.51872607145114</v>
      </c>
      <c r="N15" s="27">
        <f t="shared" si="0"/>
        <v>791.24475935196176</v>
      </c>
      <c r="O15" s="27">
        <f t="shared" si="0"/>
        <v>16.670307464334901</v>
      </c>
      <c r="P15" s="27">
        <f t="shared" si="0"/>
        <v>13.928761215495777</v>
      </c>
      <c r="Q15" s="27">
        <f t="shared" si="0"/>
        <v>15.065497963260507</v>
      </c>
      <c r="R15" s="27">
        <f t="shared" si="0"/>
        <v>310.50719264811846</v>
      </c>
      <c r="T15" s="11"/>
    </row>
    <row r="16" spans="2:21" x14ac:dyDescent="0.3">
      <c r="B16" s="19" t="s">
        <v>40</v>
      </c>
      <c r="C16" s="17">
        <v>6.6680000000000001</v>
      </c>
      <c r="D16" s="17">
        <v>39.168999999999997</v>
      </c>
      <c r="E16" s="17">
        <v>1.2509999999999999</v>
      </c>
      <c r="F16" s="10">
        <v>29.602462842892763</v>
      </c>
      <c r="G16" s="10">
        <v>0.79023268346989661</v>
      </c>
      <c r="H16" s="10">
        <v>60.055031483790529</v>
      </c>
      <c r="I16" s="10">
        <v>182.59823477021732</v>
      </c>
      <c r="J16" s="10">
        <v>7.0326617919486987</v>
      </c>
      <c r="K16" s="10">
        <v>4.8972130700035619</v>
      </c>
      <c r="L16" s="10">
        <v>5.1385137246170283</v>
      </c>
      <c r="M16" s="10">
        <v>88.252303393302455</v>
      </c>
      <c r="N16" s="10">
        <v>2165.7425302814395</v>
      </c>
      <c r="O16" s="10">
        <v>42.860187980940502</v>
      </c>
      <c r="P16" s="10">
        <v>26.57096021553259</v>
      </c>
      <c r="Q16" s="10">
        <v>14.196437210545065</v>
      </c>
      <c r="R16" s="18">
        <v>872.75855094406836</v>
      </c>
      <c r="S16">
        <v>100</v>
      </c>
      <c r="T16" s="11">
        <v>100</v>
      </c>
    </row>
    <row r="17" spans="2:22" x14ac:dyDescent="0.3">
      <c r="B17" s="19" t="s">
        <v>40</v>
      </c>
      <c r="C17" s="17">
        <v>7.1050000000000004</v>
      </c>
      <c r="D17" s="17">
        <v>38.655000000000001</v>
      </c>
      <c r="E17" s="17">
        <v>1.774</v>
      </c>
      <c r="F17" s="10">
        <v>31.021962106548902</v>
      </c>
      <c r="G17" s="10">
        <v>0.78025409424034575</v>
      </c>
      <c r="H17" s="10">
        <v>61.321134454571066</v>
      </c>
      <c r="I17" s="10">
        <v>187.91964286385419</v>
      </c>
      <c r="J17" s="10">
        <v>7.3674974819129941</v>
      </c>
      <c r="K17" s="10">
        <v>5.1724208258949549</v>
      </c>
      <c r="L17" s="10">
        <v>5.3427788828337874</v>
      </c>
      <c r="M17" s="10">
        <v>91.92119609132763</v>
      </c>
      <c r="N17" s="10">
        <v>2275.9103499953017</v>
      </c>
      <c r="O17" s="10">
        <v>44.612318613172981</v>
      </c>
      <c r="P17" s="10">
        <v>27.739392708822699</v>
      </c>
      <c r="Q17" s="10">
        <v>14.969730780794887</v>
      </c>
      <c r="R17" s="18">
        <v>912.60684017664175</v>
      </c>
      <c r="S17">
        <v>100</v>
      </c>
      <c r="T17" s="11">
        <v>100</v>
      </c>
    </row>
    <row r="18" spans="2:22" x14ac:dyDescent="0.3">
      <c r="B18" s="19" t="s">
        <v>40</v>
      </c>
      <c r="C18" s="17">
        <v>6.9870000000000001</v>
      </c>
      <c r="D18" s="17">
        <v>38.985999999999997</v>
      </c>
      <c r="E18" s="17">
        <v>1.756</v>
      </c>
      <c r="F18" s="10">
        <v>31.312212474720798</v>
      </c>
      <c r="G18" s="10">
        <v>0.77524338885512101</v>
      </c>
      <c r="H18" s="10">
        <v>61.688082969180797</v>
      </c>
      <c r="I18" s="10">
        <v>187.25893881703601</v>
      </c>
      <c r="J18" s="10">
        <v>7.1000796369308503</v>
      </c>
      <c r="K18" s="10">
        <v>5.3481694794925998</v>
      </c>
      <c r="L18" s="10">
        <v>5.4064630372540998</v>
      </c>
      <c r="M18" s="10">
        <v>90.286749742314996</v>
      </c>
      <c r="N18" s="10">
        <v>2230.8264401383699</v>
      </c>
      <c r="O18" s="10">
        <v>42.736253297056699</v>
      </c>
      <c r="P18" s="10">
        <v>28.1551764621776</v>
      </c>
      <c r="Q18" s="10">
        <v>13.58308399567</v>
      </c>
      <c r="R18" s="18">
        <v>892.682695560355</v>
      </c>
      <c r="S18">
        <v>100</v>
      </c>
      <c r="T18" s="11">
        <v>100</v>
      </c>
    </row>
    <row r="19" spans="2:22" x14ac:dyDescent="0.3">
      <c r="B19" s="29" t="s">
        <v>48</v>
      </c>
      <c r="C19" s="27">
        <f>AVERAGE(C16:C18)</f>
        <v>6.919999999999999</v>
      </c>
      <c r="D19" s="27">
        <f t="shared" ref="D19:R19" si="1">AVERAGE(D16:D18)</f>
        <v>38.936666666666667</v>
      </c>
      <c r="E19" s="27">
        <f t="shared" si="1"/>
        <v>1.5936666666666666</v>
      </c>
      <c r="F19" s="27">
        <f t="shared" si="1"/>
        <v>30.645545808054152</v>
      </c>
      <c r="G19" s="27">
        <f t="shared" si="1"/>
        <v>0.78191005552178783</v>
      </c>
      <c r="H19" s="27">
        <f t="shared" si="1"/>
        <v>61.021416302514126</v>
      </c>
      <c r="I19" s="27">
        <f t="shared" si="1"/>
        <v>185.9256054837025</v>
      </c>
      <c r="J19" s="27">
        <f t="shared" si="1"/>
        <v>7.1667463035975141</v>
      </c>
      <c r="K19" s="27">
        <f t="shared" si="1"/>
        <v>5.1392677917970389</v>
      </c>
      <c r="L19" s="27">
        <f t="shared" si="1"/>
        <v>5.2959185482349715</v>
      </c>
      <c r="M19" s="27">
        <f t="shared" si="1"/>
        <v>90.153416408981698</v>
      </c>
      <c r="N19" s="27">
        <f t="shared" si="1"/>
        <v>2224.1597734717034</v>
      </c>
      <c r="O19" s="27">
        <f t="shared" si="1"/>
        <v>43.402919963723399</v>
      </c>
      <c r="P19" s="27">
        <f t="shared" si="1"/>
        <v>27.488509795510964</v>
      </c>
      <c r="Q19" s="27">
        <f t="shared" si="1"/>
        <v>14.249750662336652</v>
      </c>
      <c r="R19" s="27">
        <f t="shared" si="1"/>
        <v>892.68269556035511</v>
      </c>
      <c r="T19" s="11"/>
    </row>
    <row r="20" spans="2:22" x14ac:dyDescent="0.3">
      <c r="B20" s="16" t="s">
        <v>41</v>
      </c>
      <c r="C20" s="17">
        <v>6.3209999999999997</v>
      </c>
      <c r="D20" s="17">
        <v>42.231000000000002</v>
      </c>
      <c r="E20" s="17">
        <v>0.66200000000000003</v>
      </c>
      <c r="F20" s="10">
        <v>20.551435074699263</v>
      </c>
      <c r="G20" s="10">
        <v>1.1819251920838185</v>
      </c>
      <c r="H20" s="10">
        <v>43.726832935584021</v>
      </c>
      <c r="I20" s="10">
        <v>141.12556601668609</v>
      </c>
      <c r="J20" s="10">
        <v>5.9764811263096629</v>
      </c>
      <c r="K20" s="10">
        <v>4.6870666894644941</v>
      </c>
      <c r="L20" s="10">
        <v>3.2718382663950334</v>
      </c>
      <c r="M20" s="10">
        <v>99.485782935584012</v>
      </c>
      <c r="N20" s="10">
        <v>777.89623641831588</v>
      </c>
      <c r="O20" s="10">
        <v>23.492633469150174</v>
      </c>
      <c r="P20" s="10">
        <v>12.524765521924717</v>
      </c>
      <c r="Q20" s="10">
        <v>20.04028574893287</v>
      </c>
      <c r="R20" s="18">
        <v>809.05975649980599</v>
      </c>
      <c r="S20">
        <v>100</v>
      </c>
      <c r="T20" s="11">
        <v>100</v>
      </c>
    </row>
    <row r="21" spans="2:22" x14ac:dyDescent="0.3">
      <c r="B21" s="16" t="s">
        <v>41</v>
      </c>
      <c r="C21" s="17">
        <v>6.4279999999999999</v>
      </c>
      <c r="D21" s="17">
        <v>41.923999999999999</v>
      </c>
      <c r="E21" s="17">
        <v>0.65700000000000003</v>
      </c>
      <c r="F21" s="10">
        <v>20.936430620258811</v>
      </c>
      <c r="G21" s="10">
        <v>1.133766844712182</v>
      </c>
      <c r="H21" s="10">
        <v>44.360857206604194</v>
      </c>
      <c r="I21" s="10">
        <v>139.22196528335562</v>
      </c>
      <c r="J21" s="10">
        <v>5.9924985229808119</v>
      </c>
      <c r="K21" s="10">
        <v>4.8629536546184742</v>
      </c>
      <c r="L21" s="10">
        <v>3.3728197554663097</v>
      </c>
      <c r="M21" s="10">
        <v>98.887269433288708</v>
      </c>
      <c r="N21" s="10">
        <v>789.62974074074066</v>
      </c>
      <c r="O21" s="10">
        <v>23.249051396697901</v>
      </c>
      <c r="P21" s="10">
        <v>12.427560669344043</v>
      </c>
      <c r="Q21" s="10">
        <v>20.928848415885764</v>
      </c>
      <c r="R21" s="18">
        <v>839.50210263275335</v>
      </c>
      <c r="S21">
        <v>100</v>
      </c>
      <c r="T21" s="11">
        <v>100</v>
      </c>
    </row>
    <row r="22" spans="2:22" x14ac:dyDescent="0.3">
      <c r="B22" s="16" t="s">
        <v>41</v>
      </c>
      <c r="C22" s="17">
        <v>6.4359999999999999</v>
      </c>
      <c r="D22" s="17">
        <v>40.122999999999998</v>
      </c>
      <c r="E22" s="17">
        <v>0.65400000000000003</v>
      </c>
      <c r="F22" s="10">
        <v>21.743932847479002</v>
      </c>
      <c r="G22" s="10">
        <v>1.257846018398</v>
      </c>
      <c r="H22" s="10">
        <v>45.043845071094097</v>
      </c>
      <c r="I22" s="10">
        <v>147.17376565002101</v>
      </c>
      <c r="J22" s="10">
        <v>5.8448982464524004</v>
      </c>
      <c r="K22" s="10">
        <v>4.8750101720414802</v>
      </c>
      <c r="L22" s="10">
        <v>3.4223290109306701</v>
      </c>
      <c r="M22" s="10">
        <v>98.186526184436403</v>
      </c>
      <c r="N22" s="10">
        <v>793.76298857952804</v>
      </c>
      <c r="O22" s="10">
        <v>24.370842432924</v>
      </c>
      <c r="P22" s="10">
        <v>13.4761630956344</v>
      </c>
      <c r="Q22" s="10">
        <v>22.484567082409299</v>
      </c>
      <c r="R22" s="18">
        <v>840.28092956627995</v>
      </c>
      <c r="S22">
        <v>100</v>
      </c>
      <c r="T22" s="11">
        <v>100</v>
      </c>
    </row>
    <row r="23" spans="2:22" x14ac:dyDescent="0.3">
      <c r="B23" s="28" t="s">
        <v>49</v>
      </c>
      <c r="C23" s="27">
        <f>AVERAGE(C20:C22)</f>
        <v>6.3949999999999996</v>
      </c>
      <c r="D23" s="27">
        <f t="shared" ref="D23:R23" si="2">AVERAGE(D20:D22)</f>
        <v>41.425999999999995</v>
      </c>
      <c r="E23" s="27">
        <f t="shared" si="2"/>
        <v>0.65766666666666662</v>
      </c>
      <c r="F23" s="27">
        <f t="shared" si="2"/>
        <v>21.077266180812359</v>
      </c>
      <c r="G23" s="27">
        <f t="shared" si="2"/>
        <v>1.1911793517313336</v>
      </c>
      <c r="H23" s="27">
        <f t="shared" si="2"/>
        <v>44.37717840442744</v>
      </c>
      <c r="I23" s="27">
        <f t="shared" si="2"/>
        <v>142.50709898335424</v>
      </c>
      <c r="J23" s="27">
        <f t="shared" si="2"/>
        <v>5.9379592985809593</v>
      </c>
      <c r="K23" s="27">
        <f t="shared" si="2"/>
        <v>4.8083435053748156</v>
      </c>
      <c r="L23" s="27">
        <f t="shared" si="2"/>
        <v>3.3556623442640046</v>
      </c>
      <c r="M23" s="27">
        <f t="shared" si="2"/>
        <v>98.853192851103032</v>
      </c>
      <c r="N23" s="27">
        <f t="shared" si="2"/>
        <v>787.09632191286153</v>
      </c>
      <c r="O23" s="27">
        <f t="shared" si="2"/>
        <v>23.704175766257361</v>
      </c>
      <c r="P23" s="27">
        <f t="shared" si="2"/>
        <v>12.809496428967719</v>
      </c>
      <c r="Q23" s="27">
        <f t="shared" si="2"/>
        <v>21.151233749075978</v>
      </c>
      <c r="R23" s="27">
        <f t="shared" si="2"/>
        <v>829.6142628996131</v>
      </c>
      <c r="T23" s="11"/>
    </row>
    <row r="24" spans="2:22" x14ac:dyDescent="0.3">
      <c r="B24" s="16" t="s">
        <v>42</v>
      </c>
      <c r="C24" s="17">
        <v>4.8339999999999996</v>
      </c>
      <c r="D24" s="17">
        <v>28.762</v>
      </c>
      <c r="E24" s="17">
        <v>1.2689999999999999</v>
      </c>
      <c r="F24" s="10">
        <v>35.606295560471985</v>
      </c>
      <c r="G24" s="10">
        <v>1.739189813176008</v>
      </c>
      <c r="H24" s="10">
        <v>80.869947148475902</v>
      </c>
      <c r="I24" s="10">
        <v>252.37958117010822</v>
      </c>
      <c r="J24" s="10">
        <v>27.479746592920357</v>
      </c>
      <c r="K24" s="10">
        <v>3.0990910270403149</v>
      </c>
      <c r="L24" s="10">
        <v>8.8079327630285178</v>
      </c>
      <c r="M24" s="10">
        <v>344.03349360865298</v>
      </c>
      <c r="N24" s="10">
        <v>1179.4586229105212</v>
      </c>
      <c r="O24" s="10">
        <v>46.789269631268446</v>
      </c>
      <c r="P24" s="10">
        <v>35.148670717797444</v>
      </c>
      <c r="Q24" s="10">
        <v>38.490859926253691</v>
      </c>
      <c r="R24" s="18">
        <v>1167.7757330383481</v>
      </c>
      <c r="S24">
        <v>100</v>
      </c>
      <c r="T24" s="11">
        <v>100</v>
      </c>
    </row>
    <row r="25" spans="2:22" x14ac:dyDescent="0.3">
      <c r="B25" s="16" t="s">
        <v>42</v>
      </c>
      <c r="C25" s="17">
        <v>4.8410000000000002</v>
      </c>
      <c r="D25" s="17">
        <v>28.84</v>
      </c>
      <c r="E25" s="17">
        <v>1.296</v>
      </c>
      <c r="F25" s="10">
        <v>35.466369416682682</v>
      </c>
      <c r="G25" s="10">
        <v>1.7518429737651358</v>
      </c>
      <c r="H25" s="10">
        <v>81.952913319238903</v>
      </c>
      <c r="I25" s="10">
        <v>251.92852291946954</v>
      </c>
      <c r="J25" s="10">
        <v>27.022538617143955</v>
      </c>
      <c r="K25" s="10">
        <v>3.1312970372861808</v>
      </c>
      <c r="L25" s="10">
        <v>8.7777911253123229</v>
      </c>
      <c r="M25" s="10">
        <v>343.72389256198352</v>
      </c>
      <c r="N25" s="10">
        <v>1183.215505477609</v>
      </c>
      <c r="O25" s="10">
        <v>45.363273275033634</v>
      </c>
      <c r="P25" s="10">
        <v>35.015075908129923</v>
      </c>
      <c r="Q25" s="10">
        <v>37.83854639630983</v>
      </c>
      <c r="R25" s="18">
        <v>1160.6379266769172</v>
      </c>
      <c r="S25">
        <v>100</v>
      </c>
      <c r="T25" s="11">
        <v>100</v>
      </c>
    </row>
    <row r="26" spans="2:22" ht="15" thickBot="1" x14ac:dyDescent="0.35">
      <c r="B26" s="20" t="s">
        <v>42</v>
      </c>
      <c r="C26" s="21">
        <v>4.8760000000000003</v>
      </c>
      <c r="D26" s="21">
        <v>28.876000000000001</v>
      </c>
      <c r="E26" s="21">
        <v>1.2969999999999999</v>
      </c>
      <c r="F26" s="22">
        <v>34.536332488577301</v>
      </c>
      <c r="G26" s="22">
        <v>1.745516393470572</v>
      </c>
      <c r="H26" s="22">
        <v>80.411430233857402</v>
      </c>
      <c r="I26" s="22">
        <v>252.1540520447889</v>
      </c>
      <c r="J26" s="22">
        <v>26.2511426050322</v>
      </c>
      <c r="K26" s="22">
        <v>3.1151940321632479</v>
      </c>
      <c r="L26" s="22">
        <v>8.1328619441704202</v>
      </c>
      <c r="M26" s="22">
        <v>343.87869308531822</v>
      </c>
      <c r="N26" s="22">
        <v>1175.3370641940701</v>
      </c>
      <c r="O26" s="22">
        <v>46.076271453151037</v>
      </c>
      <c r="P26" s="22">
        <v>36.081873312963701</v>
      </c>
      <c r="Q26" s="22">
        <v>37.1647031612818</v>
      </c>
      <c r="R26" s="23">
        <v>1264.2068298576301</v>
      </c>
      <c r="S26">
        <v>100</v>
      </c>
      <c r="T26" s="11">
        <v>100</v>
      </c>
    </row>
    <row r="27" spans="2:22" x14ac:dyDescent="0.3">
      <c r="B27" s="6" t="s">
        <v>50</v>
      </c>
      <c r="C27" s="30">
        <f>AVERAGE(C24:C26)</f>
        <v>4.8503333333333343</v>
      </c>
      <c r="D27" s="30">
        <f t="shared" ref="D27:R27" si="3">AVERAGE(D24:D26)</f>
        <v>28.826000000000004</v>
      </c>
      <c r="E27" s="30">
        <f t="shared" si="3"/>
        <v>1.2873333333333334</v>
      </c>
      <c r="F27" s="30">
        <f t="shared" si="3"/>
        <v>35.202999155243987</v>
      </c>
      <c r="G27" s="30">
        <f t="shared" si="3"/>
        <v>1.745516393470572</v>
      </c>
      <c r="H27" s="30">
        <f t="shared" si="3"/>
        <v>81.078096900524073</v>
      </c>
      <c r="I27" s="30">
        <f t="shared" si="3"/>
        <v>252.15405204478893</v>
      </c>
      <c r="J27" s="30">
        <f t="shared" si="3"/>
        <v>26.91780927169884</v>
      </c>
      <c r="K27" s="30">
        <f t="shared" si="3"/>
        <v>3.1151940321632474</v>
      </c>
      <c r="L27" s="30">
        <f t="shared" si="3"/>
        <v>8.5728619441704197</v>
      </c>
      <c r="M27" s="30">
        <f t="shared" si="3"/>
        <v>343.87869308531822</v>
      </c>
      <c r="N27" s="30">
        <f t="shared" si="3"/>
        <v>1179.3370641940667</v>
      </c>
      <c r="O27" s="30">
        <f t="shared" si="3"/>
        <v>46.076271453151037</v>
      </c>
      <c r="P27" s="30">
        <f t="shared" si="3"/>
        <v>35.415206646297015</v>
      </c>
      <c r="Q27" s="30">
        <f t="shared" si="3"/>
        <v>37.831369827948443</v>
      </c>
      <c r="R27" s="30">
        <f t="shared" si="3"/>
        <v>1197.5401631909651</v>
      </c>
    </row>
    <row r="29" spans="2:22" ht="15" thickBot="1" x14ac:dyDescent="0.35">
      <c r="C29" s="8" t="s">
        <v>1</v>
      </c>
      <c r="D29" t="s">
        <v>2</v>
      </c>
      <c r="E29" t="s">
        <v>3</v>
      </c>
      <c r="F29" t="s">
        <v>4</v>
      </c>
      <c r="G29" t="s">
        <v>5</v>
      </c>
      <c r="H29" t="s">
        <v>6</v>
      </c>
      <c r="I29" t="s">
        <v>7</v>
      </c>
      <c r="J29" t="s">
        <v>8</v>
      </c>
      <c r="K29" t="s">
        <v>9</v>
      </c>
      <c r="L29" t="s">
        <v>10</v>
      </c>
      <c r="M29" t="s">
        <v>11</v>
      </c>
      <c r="N29" t="s">
        <v>12</v>
      </c>
      <c r="O29" t="s">
        <v>13</v>
      </c>
      <c r="P29" t="s">
        <v>14</v>
      </c>
      <c r="Q29" t="s">
        <v>15</v>
      </c>
      <c r="R29" t="s">
        <v>16</v>
      </c>
      <c r="S29" s="25" t="s">
        <v>43</v>
      </c>
      <c r="T29" s="25" t="s">
        <v>44</v>
      </c>
      <c r="U29" s="25" t="s">
        <v>45</v>
      </c>
      <c r="V29" s="25"/>
    </row>
    <row r="30" spans="2:22" x14ac:dyDescent="0.3">
      <c r="B30" t="s">
        <v>31</v>
      </c>
      <c r="C30" s="10"/>
      <c r="D30" s="10"/>
      <c r="E30" s="10"/>
      <c r="F30" s="10">
        <v>34.630000000000003</v>
      </c>
      <c r="G30" s="10">
        <v>0.91</v>
      </c>
      <c r="H30" s="10">
        <v>53</v>
      </c>
      <c r="I30" s="10">
        <v>218.33</v>
      </c>
      <c r="J30" s="10">
        <v>7.79</v>
      </c>
      <c r="K30" s="10">
        <v>4.2</v>
      </c>
      <c r="L30" s="83">
        <v>3.0444133413721826</v>
      </c>
      <c r="M30" s="83">
        <v>84.758529678117924</v>
      </c>
      <c r="N30" s="83">
        <v>2.1782766153164679</v>
      </c>
      <c r="O30" s="83">
        <v>40.109944664829214</v>
      </c>
      <c r="P30" s="83">
        <v>23.877081075893294</v>
      </c>
      <c r="Q30" s="83">
        <v>16.193222915641304</v>
      </c>
      <c r="R30" s="83">
        <v>1023.5790934147061</v>
      </c>
      <c r="S30" s="11">
        <v>97.260273972602747</v>
      </c>
      <c r="T30">
        <v>100</v>
      </c>
      <c r="U30">
        <v>100</v>
      </c>
    </row>
    <row r="31" spans="2:22" x14ac:dyDescent="0.3">
      <c r="B31" t="s">
        <v>31</v>
      </c>
      <c r="C31" s="10"/>
      <c r="D31" s="10"/>
      <c r="E31" s="10"/>
      <c r="F31" s="10">
        <v>35.01</v>
      </c>
      <c r="G31" s="10">
        <v>0.94</v>
      </c>
      <c r="H31" s="10">
        <v>49</v>
      </c>
      <c r="I31" s="10">
        <v>215.36</v>
      </c>
      <c r="J31" s="10">
        <v>7.5</v>
      </c>
      <c r="K31" s="10">
        <v>4.2</v>
      </c>
      <c r="L31" s="84">
        <v>2.9864379840290027</v>
      </c>
      <c r="M31" s="84">
        <v>81.675126445228301</v>
      </c>
      <c r="N31" s="84">
        <v>2.1391693748775231</v>
      </c>
      <c r="O31" s="84">
        <v>38.090678855575156</v>
      </c>
      <c r="P31" s="84">
        <v>22.880786483441117</v>
      </c>
      <c r="Q31" s="84">
        <v>15.086317994317069</v>
      </c>
      <c r="R31" s="84">
        <v>980.69256319811871</v>
      </c>
      <c r="S31" s="11">
        <v>97.297297297297305</v>
      </c>
      <c r="T31">
        <v>100</v>
      </c>
      <c r="U31">
        <v>100</v>
      </c>
    </row>
    <row r="32" spans="2:22" x14ac:dyDescent="0.3">
      <c r="B32" s="34" t="s">
        <v>52</v>
      </c>
      <c r="C32" s="33" t="e">
        <f>AVERAGE(C30:C31)</f>
        <v>#DIV/0!</v>
      </c>
      <c r="D32" s="33" t="e">
        <f t="shared" ref="D32:R32" si="4">AVERAGE(D30:D31)</f>
        <v>#DIV/0!</v>
      </c>
      <c r="E32" s="33" t="e">
        <f t="shared" si="4"/>
        <v>#DIV/0!</v>
      </c>
      <c r="F32" s="33">
        <f t="shared" si="4"/>
        <v>34.82</v>
      </c>
      <c r="G32" s="33">
        <f t="shared" si="4"/>
        <v>0.92500000000000004</v>
      </c>
      <c r="H32" s="33">
        <f t="shared" si="4"/>
        <v>51</v>
      </c>
      <c r="I32" s="33">
        <f t="shared" si="4"/>
        <v>216.84500000000003</v>
      </c>
      <c r="J32" s="33">
        <f t="shared" si="4"/>
        <v>7.6449999999999996</v>
      </c>
      <c r="K32" s="33">
        <f t="shared" si="4"/>
        <v>4.2</v>
      </c>
      <c r="L32" s="33">
        <f t="shared" si="4"/>
        <v>3.0154256627005926</v>
      </c>
      <c r="M32" s="33">
        <f t="shared" si="4"/>
        <v>83.216828061673112</v>
      </c>
      <c r="N32" s="33">
        <f t="shared" si="4"/>
        <v>2.1587229950969955</v>
      </c>
      <c r="O32" s="33">
        <f t="shared" si="4"/>
        <v>39.100311760202189</v>
      </c>
      <c r="P32" s="33">
        <f t="shared" si="4"/>
        <v>23.378933779667207</v>
      </c>
      <c r="Q32" s="33">
        <f t="shared" si="4"/>
        <v>15.639770454979185</v>
      </c>
      <c r="R32" s="33">
        <f t="shared" si="4"/>
        <v>1002.1358283064123</v>
      </c>
      <c r="S32" s="11"/>
    </row>
    <row r="33" spans="2:21" x14ac:dyDescent="0.3">
      <c r="B33" t="s">
        <v>32</v>
      </c>
      <c r="C33" s="10"/>
      <c r="D33" s="10"/>
      <c r="E33" s="10"/>
      <c r="F33" s="85">
        <v>139.45874277286134</v>
      </c>
      <c r="G33" s="85">
        <v>0.55949390216322525</v>
      </c>
      <c r="H33" s="85">
        <v>19.37591928220256</v>
      </c>
      <c r="I33" s="85">
        <v>92.753374090462145</v>
      </c>
      <c r="J33" s="85">
        <v>3.4456453038348083</v>
      </c>
      <c r="K33" s="85">
        <v>6.8866870255653891</v>
      </c>
      <c r="L33" s="85">
        <v>5.2686497640117995</v>
      </c>
      <c r="M33" s="85">
        <v>213.75530162241893</v>
      </c>
      <c r="N33" s="85">
        <v>1.0231105609636186</v>
      </c>
      <c r="O33" s="85">
        <v>11.761150014749264</v>
      </c>
      <c r="P33" s="85">
        <v>16.426311376597837</v>
      </c>
      <c r="Q33" s="85">
        <v>9.750740909537857</v>
      </c>
      <c r="R33" s="85">
        <v>269.47731524090466</v>
      </c>
      <c r="S33" s="11">
        <v>100</v>
      </c>
      <c r="T33">
        <v>100</v>
      </c>
      <c r="U33">
        <v>100</v>
      </c>
    </row>
    <row r="34" spans="2:21" x14ac:dyDescent="0.3">
      <c r="B34" t="s">
        <v>32</v>
      </c>
      <c r="C34" s="10"/>
      <c r="D34" s="10"/>
      <c r="E34" s="10"/>
      <c r="F34" s="85">
        <v>153.92728155529505</v>
      </c>
      <c r="G34" s="85">
        <v>0.56989325664321999</v>
      </c>
      <c r="H34" s="85">
        <v>19.1748018024619</v>
      </c>
      <c r="I34" s="85">
        <v>101.30192301680344</v>
      </c>
      <c r="J34" s="85">
        <v>3.7089078028526767</v>
      </c>
      <c r="K34" s="85">
        <v>7.4506399277061357</v>
      </c>
      <c r="L34" s="85">
        <v>5.6331776621727236</v>
      </c>
      <c r="M34" s="85">
        <v>234.10145359515431</v>
      </c>
      <c r="N34" s="85">
        <v>1.1067565181711607</v>
      </c>
      <c r="O34" s="85">
        <v>11.523071991012113</v>
      </c>
      <c r="P34" s="85">
        <v>18.177105431809299</v>
      </c>
      <c r="Q34" s="85">
        <v>8.5388616842516605</v>
      </c>
      <c r="R34" s="85">
        <v>293.02165318483776</v>
      </c>
      <c r="S34" s="11">
        <v>100</v>
      </c>
      <c r="T34">
        <v>100</v>
      </c>
      <c r="U34">
        <v>100</v>
      </c>
    </row>
    <row r="35" spans="2:21" x14ac:dyDescent="0.3">
      <c r="B35" s="35" t="s">
        <v>53</v>
      </c>
      <c r="C35" s="33" t="e">
        <f>AVERAGE(C33:C34)</f>
        <v>#DIV/0!</v>
      </c>
      <c r="D35" s="33" t="e">
        <f t="shared" ref="D35:R35" si="5">AVERAGE(D33:D34)</f>
        <v>#DIV/0!</v>
      </c>
      <c r="E35" s="33" t="e">
        <f t="shared" si="5"/>
        <v>#DIV/0!</v>
      </c>
      <c r="F35" s="33">
        <f t="shared" si="5"/>
        <v>146.6930121640782</v>
      </c>
      <c r="G35" s="33">
        <f t="shared" si="5"/>
        <v>0.56469357940322262</v>
      </c>
      <c r="H35" s="33">
        <f t="shared" si="5"/>
        <v>19.27536054233223</v>
      </c>
      <c r="I35" s="33">
        <f t="shared" si="5"/>
        <v>97.027648553632787</v>
      </c>
      <c r="J35" s="33">
        <f t="shared" si="5"/>
        <v>3.5772765533437427</v>
      </c>
      <c r="K35" s="33">
        <f t="shared" si="5"/>
        <v>7.1686634766357624</v>
      </c>
      <c r="L35" s="33">
        <f t="shared" si="5"/>
        <v>5.4509137130922616</v>
      </c>
      <c r="M35" s="33">
        <f t="shared" si="5"/>
        <v>223.9283776087866</v>
      </c>
      <c r="N35" s="33">
        <f t="shared" si="5"/>
        <v>1.0649335395673898</v>
      </c>
      <c r="O35" s="33">
        <f t="shared" si="5"/>
        <v>11.642111002880689</v>
      </c>
      <c r="P35" s="33">
        <f t="shared" si="5"/>
        <v>17.301708404203566</v>
      </c>
      <c r="Q35" s="33">
        <f t="shared" si="5"/>
        <v>9.1448012968947587</v>
      </c>
      <c r="R35" s="33">
        <f t="shared" si="5"/>
        <v>281.24948421287121</v>
      </c>
      <c r="S35" s="11"/>
    </row>
    <row r="36" spans="2:21" x14ac:dyDescent="0.3">
      <c r="B36" t="s">
        <v>33</v>
      </c>
      <c r="C36" s="10"/>
      <c r="D36" s="10"/>
      <c r="E36" s="10"/>
      <c r="F36" s="86">
        <v>35.879208291308217</v>
      </c>
      <c r="G36" s="86">
        <v>1.6241637881934146</v>
      </c>
      <c r="H36" s="86">
        <v>89.132913378819339</v>
      </c>
      <c r="I36" s="86">
        <v>239.93360412340547</v>
      </c>
      <c r="J36" s="86">
        <v>37.556558578067829</v>
      </c>
      <c r="K36" s="86">
        <v>3.3361461114407187</v>
      </c>
      <c r="L36" s="86">
        <v>7.3944448482151683</v>
      </c>
      <c r="M36" s="86">
        <v>522.90854494215364</v>
      </c>
      <c r="N36" s="86">
        <v>1.1455135622466133</v>
      </c>
      <c r="O36" s="86">
        <v>43.944277642638184</v>
      </c>
      <c r="P36" s="86">
        <v>34.848470656580631</v>
      </c>
      <c r="Q36" s="86">
        <v>37.234431375457326</v>
      </c>
      <c r="R36" s="86">
        <v>1029.1012281222188</v>
      </c>
      <c r="S36" s="11">
        <v>34.666666666666671</v>
      </c>
      <c r="T36">
        <v>100</v>
      </c>
      <c r="U36">
        <v>100</v>
      </c>
    </row>
    <row r="37" spans="2:21" x14ac:dyDescent="0.3">
      <c r="B37" t="s">
        <v>33</v>
      </c>
      <c r="C37" s="10"/>
      <c r="D37" s="10"/>
      <c r="E37" s="10"/>
      <c r="F37" s="86">
        <v>37.415690791173844</v>
      </c>
      <c r="G37" s="86">
        <v>1.6527975260908458</v>
      </c>
      <c r="H37" s="86">
        <v>90.958649587516149</v>
      </c>
      <c r="I37" s="86">
        <v>248.19977785508397</v>
      </c>
      <c r="J37" s="86">
        <v>38.18093913129907</v>
      </c>
      <c r="K37" s="86">
        <v>3.3133827994235165</v>
      </c>
      <c r="L37" s="86">
        <v>7.4795841467050987</v>
      </c>
      <c r="M37" s="86">
        <v>549.10898220852789</v>
      </c>
      <c r="N37" s="86">
        <v>1.1304036258821191</v>
      </c>
      <c r="O37" s="86">
        <v>45.455847346188257</v>
      </c>
      <c r="P37" s="86">
        <v>36.040466439717726</v>
      </c>
      <c r="Q37" s="86">
        <v>40.158114551237453</v>
      </c>
      <c r="R37" s="86">
        <v>1076.5936547062915</v>
      </c>
      <c r="S37" s="11">
        <v>38.157894736842103</v>
      </c>
      <c r="T37">
        <v>100</v>
      </c>
      <c r="U37">
        <v>100</v>
      </c>
    </row>
    <row r="38" spans="2:21" x14ac:dyDescent="0.3">
      <c r="B38" s="34" t="s">
        <v>54</v>
      </c>
      <c r="C38" s="33" t="e">
        <f>AVERAGE(C36:C37)</f>
        <v>#DIV/0!</v>
      </c>
      <c r="D38" s="33" t="e">
        <f t="shared" ref="D38:R38" si="6">AVERAGE(D36:D37)</f>
        <v>#DIV/0!</v>
      </c>
      <c r="E38" s="33" t="e">
        <f t="shared" si="6"/>
        <v>#DIV/0!</v>
      </c>
      <c r="F38" s="33">
        <f t="shared" si="6"/>
        <v>36.647449541241031</v>
      </c>
      <c r="G38" s="33">
        <f t="shared" si="6"/>
        <v>1.6384806571421302</v>
      </c>
      <c r="H38" s="33">
        <f t="shared" si="6"/>
        <v>90.045781483167744</v>
      </c>
      <c r="I38" s="33">
        <f t="shared" si="6"/>
        <v>244.06669098924471</v>
      </c>
      <c r="J38" s="33">
        <f t="shared" si="6"/>
        <v>37.868748854683446</v>
      </c>
      <c r="K38" s="33">
        <f t="shared" si="6"/>
        <v>3.3247644554321178</v>
      </c>
      <c r="L38" s="33">
        <f t="shared" si="6"/>
        <v>7.4370144974601331</v>
      </c>
      <c r="M38" s="33">
        <f t="shared" si="6"/>
        <v>536.00876357534071</v>
      </c>
      <c r="N38" s="33">
        <f t="shared" si="6"/>
        <v>1.1379585940643662</v>
      </c>
      <c r="O38" s="33">
        <f t="shared" si="6"/>
        <v>44.700062494413217</v>
      </c>
      <c r="P38" s="33">
        <f t="shared" si="6"/>
        <v>35.444468548149175</v>
      </c>
      <c r="Q38" s="33">
        <f t="shared" si="6"/>
        <v>38.69627296334739</v>
      </c>
      <c r="R38" s="33">
        <f t="shared" si="6"/>
        <v>1052.8474414142552</v>
      </c>
      <c r="S38" s="11"/>
    </row>
    <row r="39" spans="2:21" x14ac:dyDescent="0.3">
      <c r="B39" t="s">
        <v>34</v>
      </c>
      <c r="C39" s="10"/>
      <c r="D39" s="10"/>
      <c r="E39" s="10"/>
      <c r="F39" s="87">
        <v>21.311619350985467</v>
      </c>
      <c r="G39" s="87">
        <v>1.1496238746764882</v>
      </c>
      <c r="H39" s="87">
        <v>54.855905833167434</v>
      </c>
      <c r="I39" s="87">
        <v>163.39457958391401</v>
      </c>
      <c r="J39" s="87">
        <v>7.3847718544694416</v>
      </c>
      <c r="K39" s="87">
        <v>4.2339143489946247</v>
      </c>
      <c r="L39" s="87">
        <v>3.5124987801114873</v>
      </c>
      <c r="M39" s="87">
        <v>112.10473815448937</v>
      </c>
      <c r="N39" s="87">
        <v>0.8873933864224568</v>
      </c>
      <c r="O39" s="87">
        <v>28.182010008958791</v>
      </c>
      <c r="P39" s="87">
        <v>12.9843709735218</v>
      </c>
      <c r="Q39" s="87">
        <v>24.314932137169023</v>
      </c>
      <c r="R39" s="87">
        <v>851.00016474218603</v>
      </c>
      <c r="S39" s="11">
        <v>100</v>
      </c>
      <c r="T39">
        <v>100</v>
      </c>
      <c r="U39">
        <v>100</v>
      </c>
    </row>
    <row r="40" spans="2:21" ht="15" thickBot="1" x14ac:dyDescent="0.35">
      <c r="B40" t="s">
        <v>34</v>
      </c>
      <c r="C40" s="10"/>
      <c r="D40" s="10"/>
      <c r="E40" s="10"/>
      <c r="F40" s="88">
        <v>21.127580542874156</v>
      </c>
      <c r="G40" s="88">
        <v>1.0849176518459707</v>
      </c>
      <c r="H40" s="88">
        <v>51.537076220722504</v>
      </c>
      <c r="I40" s="88">
        <v>161.42071610758239</v>
      </c>
      <c r="J40" s="88">
        <v>7.2049714023421991</v>
      </c>
      <c r="K40" s="88">
        <v>4.3217806053989669</v>
      </c>
      <c r="L40" s="88">
        <v>3.4709542983326713</v>
      </c>
      <c r="M40" s="88">
        <v>109.81798967844384</v>
      </c>
      <c r="N40" s="88">
        <v>0.89936025109170292</v>
      </c>
      <c r="O40" s="88">
        <v>27.02301380508138</v>
      </c>
      <c r="P40" s="88">
        <v>12.714104778682014</v>
      </c>
      <c r="Q40" s="88">
        <v>21.639737569472011</v>
      </c>
      <c r="R40" s="88">
        <v>833.13033743549033</v>
      </c>
      <c r="S40" s="11">
        <v>100</v>
      </c>
      <c r="T40">
        <v>100</v>
      </c>
      <c r="U40">
        <v>100</v>
      </c>
    </row>
    <row r="41" spans="2:21" x14ac:dyDescent="0.3">
      <c r="B41" s="35" t="s">
        <v>55</v>
      </c>
      <c r="C41" s="33" t="e">
        <f>AVERAGE(C39:C40)</f>
        <v>#DIV/0!</v>
      </c>
      <c r="D41" s="33" t="e">
        <f t="shared" ref="D41:R41" si="7">AVERAGE(D39:D40)</f>
        <v>#DIV/0!</v>
      </c>
      <c r="E41" s="33" t="e">
        <f t="shared" si="7"/>
        <v>#DIV/0!</v>
      </c>
      <c r="F41" s="33">
        <f t="shared" si="7"/>
        <v>21.219599946929812</v>
      </c>
      <c r="G41" s="33">
        <f t="shared" si="7"/>
        <v>1.1172707632612293</v>
      </c>
      <c r="H41" s="33">
        <f t="shared" si="7"/>
        <v>53.196491026944969</v>
      </c>
      <c r="I41" s="33">
        <f t="shared" si="7"/>
        <v>162.40764784574822</v>
      </c>
      <c r="J41" s="33">
        <f t="shared" si="7"/>
        <v>7.2948716284058204</v>
      </c>
      <c r="K41" s="33">
        <f t="shared" si="7"/>
        <v>4.2778474771967954</v>
      </c>
      <c r="L41" s="33">
        <f t="shared" si="7"/>
        <v>3.4917265392220793</v>
      </c>
      <c r="M41" s="33">
        <f t="shared" si="7"/>
        <v>110.96136391646661</v>
      </c>
      <c r="N41" s="33">
        <f t="shared" si="7"/>
        <v>0.89337681875707986</v>
      </c>
      <c r="O41" s="33">
        <f t="shared" si="7"/>
        <v>27.602511907020087</v>
      </c>
      <c r="P41" s="33">
        <f t="shared" si="7"/>
        <v>12.849237876101906</v>
      </c>
      <c r="Q41" s="33">
        <f t="shared" si="7"/>
        <v>22.977334853320517</v>
      </c>
      <c r="R41" s="33">
        <f t="shared" si="7"/>
        <v>842.06525108883818</v>
      </c>
      <c r="S41" s="11"/>
    </row>
    <row r="42" spans="2:21" x14ac:dyDescent="0.3">
      <c r="B42" t="s">
        <v>35</v>
      </c>
      <c r="C42" s="10"/>
      <c r="D42" s="10"/>
      <c r="E42" s="10"/>
      <c r="F42" s="84">
        <v>40.284829839905129</v>
      </c>
      <c r="G42" s="84">
        <v>0.8656549673880819</v>
      </c>
      <c r="H42" s="84">
        <v>63.424012105939319</v>
      </c>
      <c r="I42" s="84">
        <v>204.47992010080051</v>
      </c>
      <c r="J42" s="84">
        <v>8.1307001235299943</v>
      </c>
      <c r="K42" s="84">
        <v>5.6948924201996238</v>
      </c>
      <c r="L42" s="84">
        <v>8.7388079553315556</v>
      </c>
      <c r="M42" s="84">
        <v>133.46216503607073</v>
      </c>
      <c r="N42" s="84">
        <v>2.8927814566656784</v>
      </c>
      <c r="O42" s="84">
        <v>42.732851072240337</v>
      </c>
      <c r="P42" s="84">
        <v>26.941094006324736</v>
      </c>
      <c r="Q42" s="84">
        <v>14.310125773297756</v>
      </c>
      <c r="R42" s="84">
        <v>1070.2410154165432</v>
      </c>
      <c r="S42" s="11">
        <v>100</v>
      </c>
      <c r="T42">
        <v>100</v>
      </c>
      <c r="U42">
        <v>100</v>
      </c>
    </row>
    <row r="43" spans="2:21" x14ac:dyDescent="0.3">
      <c r="B43" t="s">
        <v>35</v>
      </c>
      <c r="C43" s="10"/>
      <c r="D43" s="10"/>
      <c r="E43" s="10"/>
      <c r="F43" s="84">
        <v>36.92603132681699</v>
      </c>
      <c r="G43" s="84">
        <v>0.89383815542436851</v>
      </c>
      <c r="H43" s="84">
        <v>65.15484249491918</v>
      </c>
      <c r="I43" s="84">
        <v>209.36599525791152</v>
      </c>
      <c r="J43" s="84">
        <v>8.2351598519307068</v>
      </c>
      <c r="K43" s="84">
        <v>5.3441350382270389</v>
      </c>
      <c r="L43" s="84">
        <v>8.2122231249395128</v>
      </c>
      <c r="M43" s="84">
        <v>135.75219219974835</v>
      </c>
      <c r="N43" s="84">
        <v>2.7529357626052451</v>
      </c>
      <c r="O43" s="84">
        <v>44.152429221910381</v>
      </c>
      <c r="P43" s="84">
        <v>27.42142237491532</v>
      </c>
      <c r="Q43" s="84">
        <v>14.669879129971932</v>
      </c>
      <c r="R43" s="84">
        <v>1084.1520961966514</v>
      </c>
      <c r="S43" s="11">
        <v>100</v>
      </c>
      <c r="T43">
        <v>100</v>
      </c>
      <c r="U43">
        <v>100</v>
      </c>
    </row>
    <row r="44" spans="2:21" x14ac:dyDescent="0.3"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S44" s="11"/>
    </row>
    <row r="45" spans="2:21" x14ac:dyDescent="0.3"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S45" s="11"/>
    </row>
    <row r="46" spans="2:21" x14ac:dyDescent="0.3">
      <c r="B46" s="35" t="s">
        <v>56</v>
      </c>
      <c r="C46" s="33" t="e">
        <f>AVERAGE(C42:C43)</f>
        <v>#DIV/0!</v>
      </c>
      <c r="D46" s="33" t="e">
        <f t="shared" ref="D46:O46" si="8">AVERAGE(D42:D43)</f>
        <v>#DIV/0!</v>
      </c>
      <c r="E46" s="33" t="e">
        <f t="shared" si="8"/>
        <v>#DIV/0!</v>
      </c>
      <c r="F46" s="33">
        <f t="shared" si="8"/>
        <v>38.605430583361056</v>
      </c>
      <c r="G46" s="33">
        <f t="shared" si="8"/>
        <v>0.8797465614062252</v>
      </c>
      <c r="H46" s="33">
        <f t="shared" si="8"/>
        <v>64.289427300429253</v>
      </c>
      <c r="I46" s="33">
        <f t="shared" si="8"/>
        <v>206.92295767935602</v>
      </c>
      <c r="J46" s="33">
        <f t="shared" si="8"/>
        <v>8.1829299877303505</v>
      </c>
      <c r="K46" s="33">
        <f t="shared" si="8"/>
        <v>5.5195137292133314</v>
      </c>
      <c r="L46" s="33">
        <f t="shared" si="8"/>
        <v>8.4755155401355342</v>
      </c>
      <c r="M46" s="33">
        <f t="shared" si="8"/>
        <v>134.60717861790954</v>
      </c>
      <c r="N46" s="33">
        <f t="shared" si="8"/>
        <v>2.8228586096354618</v>
      </c>
      <c r="O46" s="33">
        <f t="shared" si="8"/>
        <v>43.442640147075359</v>
      </c>
      <c r="P46" s="33">
        <f t="shared" ref="P46" si="9">AVERAGE(P42:P43)</f>
        <v>27.181258190620028</v>
      </c>
      <c r="Q46" s="33">
        <f t="shared" ref="Q46" si="10">AVERAGE(Q42:Q43)</f>
        <v>14.490002451634844</v>
      </c>
      <c r="R46" s="33">
        <f t="shared" ref="R46" si="11">AVERAGE(R42:R43)</f>
        <v>1077.1965558065972</v>
      </c>
      <c r="S46" s="11"/>
    </row>
    <row r="47" spans="2:21" x14ac:dyDescent="0.3">
      <c r="B47" t="s">
        <v>36</v>
      </c>
      <c r="C47" s="10"/>
      <c r="D47" s="10"/>
      <c r="E47" s="10"/>
      <c r="F47" s="85">
        <v>191.40327925953559</v>
      </c>
      <c r="G47" s="85">
        <v>0.772209214305698</v>
      </c>
      <c r="H47" s="85">
        <v>22.427854359787371</v>
      </c>
      <c r="I47" s="85">
        <v>132.00607399981348</v>
      </c>
      <c r="J47" s="85">
        <v>5.6136225543224842</v>
      </c>
      <c r="K47" s="85">
        <v>3.3537876494451182</v>
      </c>
      <c r="L47" s="85">
        <v>4.2297424531381145</v>
      </c>
      <c r="M47" s="85">
        <v>197.64986659516924</v>
      </c>
      <c r="N47" s="85">
        <v>0.8979360631353166</v>
      </c>
      <c r="O47" s="85">
        <v>13.204428177748765</v>
      </c>
      <c r="P47" s="85">
        <v>11.475427650843979</v>
      </c>
      <c r="Q47" s="85">
        <v>13.224837498834283</v>
      </c>
      <c r="R47" s="85">
        <v>509.37590413130658</v>
      </c>
      <c r="S47" s="11">
        <v>100</v>
      </c>
      <c r="T47">
        <v>100</v>
      </c>
      <c r="U47">
        <v>100</v>
      </c>
    </row>
    <row r="48" spans="2:21" x14ac:dyDescent="0.3">
      <c r="B48" t="s">
        <v>36</v>
      </c>
      <c r="C48" s="10"/>
      <c r="D48" s="10"/>
      <c r="E48" s="10"/>
      <c r="F48" s="85">
        <v>169.14298042588806</v>
      </c>
      <c r="G48" s="85">
        <v>0.75308775432397246</v>
      </c>
      <c r="H48" s="85">
        <v>22.497386953691652</v>
      </c>
      <c r="I48" s="85">
        <v>121.94050492839874</v>
      </c>
      <c r="J48" s="85">
        <v>4.9339431420866662</v>
      </c>
      <c r="K48" s="85">
        <v>3.1554878542867772</v>
      </c>
      <c r="L48" s="85">
        <v>3.8389678087223356</v>
      </c>
      <c r="M48" s="85">
        <v>178.53295913148597</v>
      </c>
      <c r="N48" s="85">
        <v>0.8466111707271714</v>
      </c>
      <c r="O48" s="85">
        <v>12.892422089455087</v>
      </c>
      <c r="P48" s="85">
        <v>10.355588613539148</v>
      </c>
      <c r="Q48" s="85">
        <v>12.464716226520366</v>
      </c>
      <c r="R48" s="85">
        <v>450.43834438348529</v>
      </c>
      <c r="S48" s="11">
        <v>100</v>
      </c>
      <c r="T48">
        <v>100</v>
      </c>
      <c r="U48">
        <v>100</v>
      </c>
    </row>
    <row r="49" spans="2:21" x14ac:dyDescent="0.3">
      <c r="B49" s="35" t="s">
        <v>57</v>
      </c>
      <c r="C49" s="33" t="e">
        <f>AVERAGE(C47:C48)</f>
        <v>#DIV/0!</v>
      </c>
      <c r="D49" s="33" t="e">
        <f t="shared" ref="D49:R49" si="12">AVERAGE(D47:D48)</f>
        <v>#DIV/0!</v>
      </c>
      <c r="E49" s="33" t="e">
        <f t="shared" si="12"/>
        <v>#DIV/0!</v>
      </c>
      <c r="F49" s="33">
        <f t="shared" si="12"/>
        <v>180.27312984271182</v>
      </c>
      <c r="G49" s="33">
        <f t="shared" si="12"/>
        <v>0.76264848431483523</v>
      </c>
      <c r="H49" s="33">
        <f t="shared" si="12"/>
        <v>22.46262065673951</v>
      </c>
      <c r="I49" s="33">
        <f t="shared" si="12"/>
        <v>126.9732894641061</v>
      </c>
      <c r="J49" s="33">
        <f t="shared" si="12"/>
        <v>5.2737828482045757</v>
      </c>
      <c r="K49" s="33">
        <f t="shared" si="12"/>
        <v>3.2546377518659479</v>
      </c>
      <c r="L49" s="33">
        <f t="shared" si="12"/>
        <v>4.0343551309302246</v>
      </c>
      <c r="M49" s="33">
        <f t="shared" si="12"/>
        <v>188.09141286332761</v>
      </c>
      <c r="N49" s="33">
        <f t="shared" si="12"/>
        <v>0.87227361693124394</v>
      </c>
      <c r="O49" s="33">
        <f t="shared" si="12"/>
        <v>13.048425133601926</v>
      </c>
      <c r="P49" s="33">
        <f t="shared" si="12"/>
        <v>10.915508132191563</v>
      </c>
      <c r="Q49" s="33">
        <f t="shared" si="12"/>
        <v>12.844776862677325</v>
      </c>
      <c r="R49" s="33">
        <f t="shared" si="12"/>
        <v>479.90712425739594</v>
      </c>
      <c r="S49" s="11"/>
    </row>
    <row r="50" spans="2:21" x14ac:dyDescent="0.3">
      <c r="B50" t="s">
        <v>37</v>
      </c>
      <c r="C50" s="10"/>
      <c r="D50" s="10"/>
      <c r="E50" s="10"/>
      <c r="F50" s="86">
        <v>28.244704201639184</v>
      </c>
      <c r="G50" s="86">
        <v>1.6439233869852872</v>
      </c>
      <c r="H50" s="86">
        <v>81.436742223758273</v>
      </c>
      <c r="I50" s="86">
        <v>258.06712772785625</v>
      </c>
      <c r="J50" s="86">
        <v>40.117337207465191</v>
      </c>
      <c r="K50" s="86">
        <v>2.5849004626246668</v>
      </c>
      <c r="L50" s="86">
        <v>5.7073201342944611</v>
      </c>
      <c r="M50" s="86">
        <v>620.92599535894146</v>
      </c>
      <c r="N50" s="86">
        <v>0.95692813024587742</v>
      </c>
      <c r="O50" s="86">
        <v>40.482560160955863</v>
      </c>
      <c r="P50" s="86">
        <v>34.002214811889012</v>
      </c>
      <c r="Q50" s="86">
        <v>112.181741236299</v>
      </c>
      <c r="R50" s="86">
        <v>2174.2338841710284</v>
      </c>
      <c r="S50" s="11">
        <v>77.697841726618705</v>
      </c>
      <c r="T50">
        <v>100</v>
      </c>
      <c r="U50">
        <v>100</v>
      </c>
    </row>
    <row r="51" spans="2:21" x14ac:dyDescent="0.3">
      <c r="B51" t="s">
        <v>37</v>
      </c>
      <c r="C51" s="10"/>
      <c r="D51" s="10"/>
      <c r="E51" s="10"/>
      <c r="F51" s="86">
        <v>27.366225539321437</v>
      </c>
      <c r="G51" s="86">
        <v>1.4785158800745244</v>
      </c>
      <c r="H51" s="86">
        <v>78.650126593449698</v>
      </c>
      <c r="I51" s="86">
        <v>257.94322690723669</v>
      </c>
      <c r="J51" s="86">
        <v>40.255811144342026</v>
      </c>
      <c r="K51" s="86">
        <v>2.4678676799372425</v>
      </c>
      <c r="L51" s="86">
        <v>5.4952422631888602</v>
      </c>
      <c r="M51" s="86">
        <v>621.46562953520299</v>
      </c>
      <c r="N51" s="86">
        <v>0.94431681506177678</v>
      </c>
      <c r="O51" s="86">
        <v>39.23455946263973</v>
      </c>
      <c r="P51" s="86">
        <v>34.267795665816827</v>
      </c>
      <c r="Q51" s="86">
        <v>113.47265728574229</v>
      </c>
      <c r="R51" s="86">
        <v>2201.2271631692488</v>
      </c>
      <c r="S51" s="11">
        <v>73.91304347826086</v>
      </c>
      <c r="T51">
        <v>100</v>
      </c>
      <c r="U51">
        <v>100</v>
      </c>
    </row>
    <row r="52" spans="2:21" x14ac:dyDescent="0.3">
      <c r="B52" s="35" t="s">
        <v>58</v>
      </c>
      <c r="C52" s="33" t="e">
        <f>AVERAGE(C50:C51)</f>
        <v>#DIV/0!</v>
      </c>
      <c r="D52" s="33" t="e">
        <f t="shared" ref="D52:R52" si="13">AVERAGE(D50:D51)</f>
        <v>#DIV/0!</v>
      </c>
      <c r="E52" s="33" t="e">
        <f t="shared" si="13"/>
        <v>#DIV/0!</v>
      </c>
      <c r="F52" s="33">
        <f t="shared" si="13"/>
        <v>27.805464870480311</v>
      </c>
      <c r="G52" s="33">
        <f t="shared" si="13"/>
        <v>1.5612196335299058</v>
      </c>
      <c r="H52" s="33">
        <f t="shared" si="13"/>
        <v>80.043434408603986</v>
      </c>
      <c r="I52" s="33">
        <f t="shared" si="13"/>
        <v>258.00517731754644</v>
      </c>
      <c r="J52" s="33">
        <f t="shared" si="13"/>
        <v>40.186574175903608</v>
      </c>
      <c r="K52" s="33">
        <f t="shared" si="13"/>
        <v>2.5263840712809547</v>
      </c>
      <c r="L52" s="33">
        <f t="shared" si="13"/>
        <v>5.6012811987416606</v>
      </c>
      <c r="M52" s="33">
        <f t="shared" si="13"/>
        <v>621.19581244707229</v>
      </c>
      <c r="N52" s="33">
        <f t="shared" si="13"/>
        <v>0.95062247265382704</v>
      </c>
      <c r="O52" s="33">
        <f t="shared" si="13"/>
        <v>39.858559811797797</v>
      </c>
      <c r="P52" s="33">
        <f t="shared" si="13"/>
        <v>34.135005238852919</v>
      </c>
      <c r="Q52" s="33">
        <f t="shared" si="13"/>
        <v>112.82719926102064</v>
      </c>
      <c r="R52" s="33">
        <f t="shared" si="13"/>
        <v>2187.7305236701386</v>
      </c>
      <c r="S52" s="11"/>
    </row>
    <row r="53" spans="2:21" x14ac:dyDescent="0.3">
      <c r="B53" t="s">
        <v>38</v>
      </c>
      <c r="C53" s="10"/>
      <c r="D53" s="10"/>
      <c r="E53" s="10"/>
      <c r="F53" s="87">
        <v>17.686434606965175</v>
      </c>
      <c r="G53" s="87">
        <v>0.95759138656716425</v>
      </c>
      <c r="H53" s="87">
        <v>42.583798159203987</v>
      </c>
      <c r="I53" s="87">
        <v>141.03939298507464</v>
      </c>
      <c r="J53" s="87">
        <v>4.5250957825870648</v>
      </c>
      <c r="K53" s="87">
        <v>2.005331816417911</v>
      </c>
      <c r="L53" s="87">
        <v>2.2583990427860701</v>
      </c>
      <c r="M53" s="87">
        <v>92.566788955223885</v>
      </c>
      <c r="N53" s="87">
        <v>0.75052038059701498</v>
      </c>
      <c r="O53" s="87">
        <v>23.135352781094529</v>
      </c>
      <c r="P53" s="87">
        <v>8.7729161890547278</v>
      </c>
      <c r="Q53" s="87">
        <v>16.723308781094527</v>
      </c>
      <c r="R53" s="87">
        <v>751.54445273631848</v>
      </c>
      <c r="S53" s="11">
        <v>100</v>
      </c>
      <c r="T53">
        <v>100</v>
      </c>
      <c r="U53">
        <v>100</v>
      </c>
    </row>
    <row r="54" spans="2:21" x14ac:dyDescent="0.3">
      <c r="B54" t="s">
        <v>38</v>
      </c>
      <c r="C54" s="10"/>
      <c r="D54" s="10"/>
      <c r="E54" s="10"/>
      <c r="F54" s="87">
        <v>17.667088330271678</v>
      </c>
      <c r="G54" s="87">
        <v>0.92581006042734215</v>
      </c>
      <c r="H54" s="87">
        <v>41.535933916658614</v>
      </c>
      <c r="I54" s="87">
        <v>135.17052900512422</v>
      </c>
      <c r="J54" s="87">
        <v>4.5206989069902335</v>
      </c>
      <c r="K54" s="87">
        <v>1.9626132785458763</v>
      </c>
      <c r="L54" s="87">
        <v>2.2230643343323986</v>
      </c>
      <c r="M54" s="87">
        <v>93.663344725901581</v>
      </c>
      <c r="N54" s="87">
        <v>0.75283097408875566</v>
      </c>
      <c r="O54" s="87">
        <v>22.797290786038864</v>
      </c>
      <c r="P54" s="87">
        <v>8.9222758000580082</v>
      </c>
      <c r="Q54" s="87">
        <v>17.168119597795609</v>
      </c>
      <c r="R54" s="87">
        <v>755.10696171323605</v>
      </c>
      <c r="S54" s="11">
        <v>100</v>
      </c>
      <c r="T54">
        <v>100</v>
      </c>
      <c r="U54">
        <v>100</v>
      </c>
    </row>
    <row r="55" spans="2:21" x14ac:dyDescent="0.3">
      <c r="B55" s="35" t="s">
        <v>59</v>
      </c>
      <c r="C55" s="33" t="e">
        <f>AVERAGE(C53:C54)</f>
        <v>#DIV/0!</v>
      </c>
      <c r="D55" s="33" t="e">
        <f t="shared" ref="D55:R55" si="14">AVERAGE(D53:D54)</f>
        <v>#DIV/0!</v>
      </c>
      <c r="E55" s="33" t="e">
        <f t="shared" si="14"/>
        <v>#DIV/0!</v>
      </c>
      <c r="F55" s="33">
        <f t="shared" si="14"/>
        <v>17.676761468618427</v>
      </c>
      <c r="G55" s="33">
        <f t="shared" si="14"/>
        <v>0.9417007234972532</v>
      </c>
      <c r="H55" s="33">
        <f t="shared" si="14"/>
        <v>42.0598660379313</v>
      </c>
      <c r="I55" s="33">
        <f t="shared" si="14"/>
        <v>138.10496099509942</v>
      </c>
      <c r="J55" s="33">
        <f t="shared" si="14"/>
        <v>4.5228973447886496</v>
      </c>
      <c r="K55" s="33">
        <f t="shared" si="14"/>
        <v>1.9839725474818937</v>
      </c>
      <c r="L55" s="33">
        <f t="shared" si="14"/>
        <v>2.2407316885592343</v>
      </c>
      <c r="M55" s="33">
        <f t="shared" si="14"/>
        <v>93.115066840562733</v>
      </c>
      <c r="N55" s="33">
        <f t="shared" si="14"/>
        <v>0.75167567734288532</v>
      </c>
      <c r="O55" s="33">
        <f t="shared" si="14"/>
        <v>22.966321783566698</v>
      </c>
      <c r="P55" s="33">
        <f t="shared" si="14"/>
        <v>8.847595994556368</v>
      </c>
      <c r="Q55" s="33">
        <f t="shared" si="14"/>
        <v>16.94571418944507</v>
      </c>
      <c r="R55" s="33">
        <f t="shared" si="14"/>
        <v>753.32570722477726</v>
      </c>
    </row>
    <row r="59" spans="2:21" s="26" customFormat="1" x14ac:dyDescent="0.3">
      <c r="B59" s="26" t="s">
        <v>66</v>
      </c>
    </row>
    <row r="60" spans="2:21" x14ac:dyDescent="0.3">
      <c r="B60" s="1" t="s">
        <v>0</v>
      </c>
      <c r="C60" s="2" t="s">
        <v>1</v>
      </c>
      <c r="D60" s="1" t="s">
        <v>2</v>
      </c>
      <c r="E60" s="1" t="s">
        <v>3</v>
      </c>
      <c r="F60" s="1" t="s">
        <v>4</v>
      </c>
      <c r="G60" s="1" t="s">
        <v>5</v>
      </c>
      <c r="H60" s="1" t="s">
        <v>6</v>
      </c>
      <c r="I60" s="1" t="s">
        <v>7</v>
      </c>
      <c r="J60" s="1" t="s">
        <v>8</v>
      </c>
      <c r="K60" s="1" t="s">
        <v>9</v>
      </c>
      <c r="L60" s="1" t="s">
        <v>10</v>
      </c>
      <c r="M60" s="1" t="s">
        <v>11</v>
      </c>
      <c r="N60" s="1" t="s">
        <v>12</v>
      </c>
      <c r="O60" s="1" t="s">
        <v>13</v>
      </c>
      <c r="P60" s="1" t="s">
        <v>14</v>
      </c>
      <c r="Q60" s="1" t="s">
        <v>15</v>
      </c>
      <c r="R60" s="1" t="s">
        <v>16</v>
      </c>
    </row>
    <row r="61" spans="2:21" x14ac:dyDescent="0.3">
      <c r="B61" s="6" t="s">
        <v>51</v>
      </c>
      <c r="C61" s="4">
        <v>45.143333333333338</v>
      </c>
      <c r="D61" s="4">
        <v>415.94333333333333</v>
      </c>
      <c r="E61" s="4">
        <v>11.506666666666668</v>
      </c>
      <c r="F61" s="4">
        <v>21.264662287174716</v>
      </c>
      <c r="G61" s="4">
        <v>1.4669184518075011</v>
      </c>
      <c r="H61" s="4">
        <v>22.08322981516163</v>
      </c>
      <c r="I61" s="4">
        <v>126.61842471223328</v>
      </c>
      <c r="J61" s="4">
        <v>6.4927877647442838</v>
      </c>
      <c r="K61" s="4">
        <v>2.1158894434920406</v>
      </c>
      <c r="L61" s="4">
        <v>3.2813856837684412</v>
      </c>
      <c r="M61" s="4">
        <v>111.78363647229443</v>
      </c>
      <c r="N61" s="4">
        <v>492.73176867495329</v>
      </c>
      <c r="O61" s="4">
        <v>12.613548839103554</v>
      </c>
      <c r="P61" s="4">
        <v>4.5879925660835639</v>
      </c>
      <c r="Q61" s="4">
        <v>29.193785710306134</v>
      </c>
      <c r="R61" s="4">
        <v>686.17873291026251</v>
      </c>
    </row>
    <row r="62" spans="2:21" x14ac:dyDescent="0.3">
      <c r="B62" s="6" t="s">
        <v>23</v>
      </c>
      <c r="C62" s="4">
        <v>38.340000000000003</v>
      </c>
      <c r="D62" s="4">
        <v>276.05</v>
      </c>
      <c r="E62" s="4">
        <v>3.3566666666666665</v>
      </c>
      <c r="F62" s="4">
        <v>109.45790100726279</v>
      </c>
      <c r="G62" s="4">
        <v>0.61865898239390837</v>
      </c>
      <c r="H62" s="4">
        <v>10.896375768723333</v>
      </c>
      <c r="I62" s="4">
        <v>119.76660157379527</v>
      </c>
      <c r="J62" s="4">
        <v>3.792086065158021</v>
      </c>
      <c r="K62" s="4">
        <v>2.3169931050105763</v>
      </c>
      <c r="L62" s="4">
        <v>3.2900671125128835</v>
      </c>
      <c r="M62" s="4">
        <v>200.175431720787</v>
      </c>
      <c r="N62" s="4">
        <v>542.14861492446539</v>
      </c>
      <c r="O62" s="4">
        <v>6.6215246292766494</v>
      </c>
      <c r="P62" s="4">
        <v>5.2889706850945588</v>
      </c>
      <c r="Q62" s="4">
        <v>9.9744094600212669</v>
      </c>
      <c r="R62" s="4">
        <v>315.4685159788321</v>
      </c>
    </row>
    <row r="63" spans="2:21" x14ac:dyDescent="0.3">
      <c r="B63" s="6" t="s">
        <v>20</v>
      </c>
      <c r="C63" s="4">
        <v>50.126666666666665</v>
      </c>
      <c r="D63" s="4">
        <v>281.48333333333335</v>
      </c>
      <c r="E63" s="4">
        <v>10.130000000000001</v>
      </c>
      <c r="F63" s="4">
        <v>21.020297149914008</v>
      </c>
      <c r="G63" s="4">
        <v>1.5872359791531627</v>
      </c>
      <c r="H63" s="4">
        <v>45.923576049275759</v>
      </c>
      <c r="I63" s="4">
        <v>223.87466251491253</v>
      </c>
      <c r="J63" s="4">
        <v>31.448582386786047</v>
      </c>
      <c r="K63" s="4">
        <v>2.6573015654313616</v>
      </c>
      <c r="L63" s="4">
        <v>4.0778897338846001</v>
      </c>
      <c r="M63" s="4">
        <v>263.71263105628964</v>
      </c>
      <c r="N63" s="4">
        <v>965.44302394086833</v>
      </c>
      <c r="O63" s="4">
        <v>22.052491783640413</v>
      </c>
      <c r="P63" s="4">
        <v>16.761131816250234</v>
      </c>
      <c r="Q63" s="4">
        <v>53.908100016854164</v>
      </c>
      <c r="R63" s="4">
        <v>1312.5267772794134</v>
      </c>
    </row>
    <row r="64" spans="2:21" x14ac:dyDescent="0.3">
      <c r="B64" s="6" t="s">
        <v>22</v>
      </c>
      <c r="C64" s="4">
        <v>48.546666666666667</v>
      </c>
      <c r="D64" s="4">
        <v>429.60666666666663</v>
      </c>
      <c r="E64" s="4">
        <v>26.563333333333333</v>
      </c>
      <c r="F64" s="4">
        <v>29.460097829082976</v>
      </c>
      <c r="G64" s="4">
        <v>0.76863830395602417</v>
      </c>
      <c r="H64" s="4">
        <v>53.777642339943725</v>
      </c>
      <c r="I64" s="4">
        <v>181.3180046253388</v>
      </c>
      <c r="J64" s="4">
        <v>6.6638967821844242</v>
      </c>
      <c r="K64" s="4">
        <v>3.0068871181967443</v>
      </c>
      <c r="L64" s="4">
        <v>2.2312907427395943</v>
      </c>
      <c r="M64" s="4">
        <v>95.639517237065647</v>
      </c>
      <c r="N64" s="4">
        <v>1281.1548581388547</v>
      </c>
      <c r="O64" s="4">
        <v>50.150161778904383</v>
      </c>
      <c r="P64" s="4">
        <v>9.2757162561102184</v>
      </c>
      <c r="Q64" s="4">
        <v>22.479586699822484</v>
      </c>
      <c r="R64" s="4">
        <v>917.58937235808412</v>
      </c>
    </row>
    <row r="65" spans="2:18" x14ac:dyDescent="0.3">
      <c r="B65" s="44" t="s">
        <v>69</v>
      </c>
      <c r="C65" s="45">
        <f>AVERAGE(C61:C64)</f>
        <v>45.539166666666674</v>
      </c>
      <c r="D65" s="45">
        <f t="shared" ref="D65:R65" si="15">AVERAGE(D61:D64)</f>
        <v>350.77083333333331</v>
      </c>
      <c r="E65" s="45">
        <f t="shared" si="15"/>
        <v>12.889166666666666</v>
      </c>
      <c r="F65" s="45">
        <f t="shared" si="15"/>
        <v>45.300739568358622</v>
      </c>
      <c r="G65" s="45">
        <f t="shared" si="15"/>
        <v>1.1103629293276491</v>
      </c>
      <c r="H65" s="45">
        <f t="shared" si="15"/>
        <v>33.170205993276113</v>
      </c>
      <c r="I65" s="45">
        <f t="shared" si="15"/>
        <v>162.89442335656997</v>
      </c>
      <c r="J65" s="45">
        <f t="shared" si="15"/>
        <v>12.099338249718194</v>
      </c>
      <c r="K65" s="45">
        <f t="shared" si="15"/>
        <v>2.5242678080326808</v>
      </c>
      <c r="L65" s="45">
        <f t="shared" si="15"/>
        <v>3.2201583182263795</v>
      </c>
      <c r="M65" s="45">
        <f t="shared" si="15"/>
        <v>167.82780412160918</v>
      </c>
      <c r="N65" s="45">
        <f t="shared" si="15"/>
        <v>820.36956641978543</v>
      </c>
      <c r="O65" s="45">
        <f t="shared" si="15"/>
        <v>22.859431757731251</v>
      </c>
      <c r="P65" s="45">
        <f t="shared" si="15"/>
        <v>8.9784528308846436</v>
      </c>
      <c r="Q65" s="45">
        <f t="shared" si="15"/>
        <v>28.888970471751009</v>
      </c>
      <c r="R65" s="45">
        <f t="shared" si="15"/>
        <v>807.94084963164801</v>
      </c>
    </row>
    <row r="66" spans="2:18" x14ac:dyDescent="0.3">
      <c r="B66" s="44" t="s">
        <v>68</v>
      </c>
      <c r="C66" s="45">
        <f>STDEV(C61:C64)</f>
        <v>5.2305161384010717</v>
      </c>
      <c r="D66" s="45">
        <f t="shared" ref="D66:R66" si="16">STDEV(D61:D64)</f>
        <v>83.359670432587819</v>
      </c>
      <c r="E66" s="45">
        <f t="shared" si="16"/>
        <v>9.7873336039022441</v>
      </c>
      <c r="F66" s="45">
        <f t="shared" si="16"/>
        <v>42.950902938557427</v>
      </c>
      <c r="G66" s="45">
        <f t="shared" si="16"/>
        <v>0.48754084863949704</v>
      </c>
      <c r="H66" s="45">
        <f t="shared" si="16"/>
        <v>20.052925258039078</v>
      </c>
      <c r="I66" s="45">
        <f t="shared" si="16"/>
        <v>49.105244132530558</v>
      </c>
      <c r="J66" s="45">
        <f t="shared" si="16"/>
        <v>12.966381142802607</v>
      </c>
      <c r="K66" s="45">
        <f t="shared" si="16"/>
        <v>0.39172910294770408</v>
      </c>
      <c r="L66" s="45">
        <f t="shared" si="16"/>
        <v>0.75767149721278426</v>
      </c>
      <c r="M66" s="45">
        <f t="shared" si="16"/>
        <v>78.723919572174012</v>
      </c>
      <c r="N66" s="45">
        <f t="shared" si="16"/>
        <v>373.32863873705793</v>
      </c>
      <c r="O66" s="45">
        <f t="shared" si="16"/>
        <v>19.270727731500692</v>
      </c>
      <c r="P66" s="45">
        <f t="shared" si="16"/>
        <v>5.5841107192380832</v>
      </c>
      <c r="Q66" s="45">
        <f t="shared" si="16"/>
        <v>18.483240824474994</v>
      </c>
      <c r="R66" s="45">
        <f t="shared" si="16"/>
        <v>417.92533998238196</v>
      </c>
    </row>
    <row r="68" spans="2:18" x14ac:dyDescent="0.3">
      <c r="B68" s="7" t="s">
        <v>26</v>
      </c>
      <c r="C68" s="4">
        <v>52.103333333333332</v>
      </c>
      <c r="D68" s="4">
        <v>472.67333333333335</v>
      </c>
      <c r="E68" s="4">
        <v>7.88</v>
      </c>
      <c r="F68" s="4">
        <v>16.031140870081245</v>
      </c>
      <c r="G68" s="4">
        <v>0.87658550900318644</v>
      </c>
      <c r="H68" s="4">
        <v>15.720587752224512</v>
      </c>
      <c r="I68" s="4">
        <v>123.56026970010346</v>
      </c>
      <c r="J68" s="4">
        <v>3.1074128193229091</v>
      </c>
      <c r="K68" s="4">
        <v>1.7438750522802309</v>
      </c>
      <c r="L68" s="4">
        <v>2.1998925963770324</v>
      </c>
      <c r="M68" s="4">
        <v>65.371671426404163</v>
      </c>
      <c r="N68" s="4">
        <v>507.34888807713753</v>
      </c>
      <c r="O68" s="4">
        <v>8.5834830332563108</v>
      </c>
      <c r="P68" s="4">
        <v>4.6450926106574055</v>
      </c>
      <c r="Q68" s="4">
        <v>11.539684416923889</v>
      </c>
      <c r="R68" s="4">
        <v>551.79938633449274</v>
      </c>
    </row>
    <row r="69" spans="2:18" x14ac:dyDescent="0.3">
      <c r="B69" s="7" t="s">
        <v>28</v>
      </c>
      <c r="C69" s="4">
        <v>37.218333333333334</v>
      </c>
      <c r="D69" s="4">
        <v>268.93166666666667</v>
      </c>
      <c r="E69" s="4">
        <v>3.7933333333333334</v>
      </c>
      <c r="F69" s="4">
        <v>98.952683506429878</v>
      </c>
      <c r="G69" s="4">
        <v>0.49973512919590979</v>
      </c>
      <c r="H69" s="4">
        <v>10.813702915889692</v>
      </c>
      <c r="I69" s="4">
        <v>94.432174450956069</v>
      </c>
      <c r="J69" s="4">
        <v>3.0642803958868599</v>
      </c>
      <c r="K69" s="4">
        <v>3.3699313309901</v>
      </c>
      <c r="L69" s="4">
        <v>3.9476691120591991</v>
      </c>
      <c r="M69" s="4">
        <v>184.24549699480784</v>
      </c>
      <c r="N69" s="4">
        <v>544.75435171314768</v>
      </c>
      <c r="O69" s="4">
        <v>5.288025747359054</v>
      </c>
      <c r="P69" s="4">
        <v>7.203602708741232</v>
      </c>
      <c r="Q69" s="4">
        <v>8.281111074097895</v>
      </c>
      <c r="R69" s="4">
        <v>229.67007150853289</v>
      </c>
    </row>
    <row r="70" spans="2:18" x14ac:dyDescent="0.3">
      <c r="B70" s="7" t="s">
        <v>25</v>
      </c>
      <c r="C70" s="4">
        <v>47.616666666666667</v>
      </c>
      <c r="D70" s="4">
        <v>305.32</v>
      </c>
      <c r="E70" s="4">
        <v>12.023333333333335</v>
      </c>
      <c r="F70" s="4">
        <v>30.344169046739989</v>
      </c>
      <c r="G70" s="4">
        <v>1.4988455748272045</v>
      </c>
      <c r="H70" s="4">
        <v>56.469972197937778</v>
      </c>
      <c r="I70" s="4">
        <v>221.09735981188931</v>
      </c>
      <c r="J70" s="4">
        <v>15.764296909218732</v>
      </c>
      <c r="K70" s="4">
        <v>2.58005216240289</v>
      </c>
      <c r="L70" s="4">
        <v>7.0237281318884586</v>
      </c>
      <c r="M70" s="4">
        <v>266.76350610335567</v>
      </c>
      <c r="N70" s="4">
        <v>1021.8354398139161</v>
      </c>
      <c r="O70" s="4">
        <v>27.961731602036103</v>
      </c>
      <c r="P70" s="4">
        <v>13.272611919608092</v>
      </c>
      <c r="Q70" s="4">
        <v>40.345114427147706</v>
      </c>
      <c r="R70" s="4">
        <v>1101.9998564726657</v>
      </c>
    </row>
    <row r="71" spans="2:18" x14ac:dyDescent="0.3">
      <c r="B71" s="7" t="s">
        <v>27</v>
      </c>
      <c r="C71" s="4">
        <v>53.77</v>
      </c>
      <c r="D71" s="4">
        <v>421.14333333333337</v>
      </c>
      <c r="E71" s="4">
        <v>14.016666666666667</v>
      </c>
      <c r="F71" s="4">
        <v>29.140764112318976</v>
      </c>
      <c r="G71" s="4">
        <v>0.65993255671009254</v>
      </c>
      <c r="H71" s="4">
        <v>34.094524811166217</v>
      </c>
      <c r="I71" s="4">
        <v>175.73309753151221</v>
      </c>
      <c r="J71" s="4">
        <v>5.9777744887863324</v>
      </c>
      <c r="K71" s="4">
        <v>3.044726715506465</v>
      </c>
      <c r="L71" s="4">
        <v>2.8385635108218388</v>
      </c>
      <c r="M71" s="4">
        <v>77.831444249618727</v>
      </c>
      <c r="N71" s="4">
        <v>1472.1746844635497</v>
      </c>
      <c r="O71" s="4">
        <v>32.329919900583675</v>
      </c>
      <c r="P71" s="4">
        <v>10.013232671538608</v>
      </c>
      <c r="Q71" s="4">
        <v>14.114280893701451</v>
      </c>
      <c r="R71" s="4">
        <v>742.27769459663273</v>
      </c>
    </row>
    <row r="72" spans="2:18" x14ac:dyDescent="0.3">
      <c r="B72" s="44" t="s">
        <v>70</v>
      </c>
      <c r="C72" s="45">
        <f>AVERAGE(C68:C71)</f>
        <v>47.677083333333336</v>
      </c>
      <c r="D72" s="45">
        <f t="shared" ref="D72:R72" si="17">AVERAGE(D68:D71)</f>
        <v>367.01708333333335</v>
      </c>
      <c r="E72" s="45">
        <f t="shared" si="17"/>
        <v>9.4283333333333346</v>
      </c>
      <c r="F72" s="45">
        <f t="shared" si="17"/>
        <v>43.617189383892523</v>
      </c>
      <c r="G72" s="45">
        <f t="shared" si="17"/>
        <v>0.88377469243409834</v>
      </c>
      <c r="H72" s="45">
        <f t="shared" si="17"/>
        <v>29.274696919304553</v>
      </c>
      <c r="I72" s="45">
        <f t="shared" si="17"/>
        <v>153.70572537361528</v>
      </c>
      <c r="J72" s="45">
        <f t="shared" si="17"/>
        <v>6.9784411533037076</v>
      </c>
      <c r="K72" s="45">
        <f t="shared" si="17"/>
        <v>2.6846463152949216</v>
      </c>
      <c r="L72" s="45">
        <f t="shared" si="17"/>
        <v>4.0024633377866321</v>
      </c>
      <c r="M72" s="45">
        <f t="shared" si="17"/>
        <v>148.55302969354659</v>
      </c>
      <c r="N72" s="45">
        <f t="shared" si="17"/>
        <v>886.5283410169377</v>
      </c>
      <c r="O72" s="45">
        <f t="shared" si="17"/>
        <v>18.540790070808786</v>
      </c>
      <c r="P72" s="45">
        <f t="shared" si="17"/>
        <v>8.7836349776363338</v>
      </c>
      <c r="Q72" s="45">
        <f t="shared" si="17"/>
        <v>18.570047702967734</v>
      </c>
      <c r="R72" s="45">
        <f t="shared" si="17"/>
        <v>656.43675222808099</v>
      </c>
    </row>
    <row r="73" spans="2:18" x14ac:dyDescent="0.3">
      <c r="B73" s="44" t="s">
        <v>68</v>
      </c>
      <c r="C73" s="45">
        <f>STDEV(C68:C71)</f>
        <v>7.4409771828157725</v>
      </c>
      <c r="D73" s="45">
        <f t="shared" ref="D73:R73" si="18">STDEV(D68:D71)</f>
        <v>95.777821297763552</v>
      </c>
      <c r="E73" s="45">
        <f t="shared" si="18"/>
        <v>4.5437645511509839</v>
      </c>
      <c r="F73" s="45">
        <f t="shared" si="18"/>
        <v>37.455515570276305</v>
      </c>
      <c r="G73" s="45">
        <f t="shared" si="18"/>
        <v>0.43816114333423817</v>
      </c>
      <c r="H73" s="45">
        <f t="shared" si="18"/>
        <v>20.715018008641692</v>
      </c>
      <c r="I73" s="45">
        <f t="shared" si="18"/>
        <v>56.121712533828884</v>
      </c>
      <c r="J73" s="45">
        <f t="shared" si="18"/>
        <v>6.0138204699565634</v>
      </c>
      <c r="K73" s="45">
        <f t="shared" si="18"/>
        <v>0.70598960178515957</v>
      </c>
      <c r="L73" s="45">
        <f t="shared" si="18"/>
        <v>2.139701493841828</v>
      </c>
      <c r="M73" s="45">
        <f t="shared" si="18"/>
        <v>95.163630948584441</v>
      </c>
      <c r="N73" s="45">
        <f t="shared" si="18"/>
        <v>455.29337350533149</v>
      </c>
      <c r="O73" s="45">
        <f t="shared" si="18"/>
        <v>13.585261210225655</v>
      </c>
      <c r="P73" s="45">
        <f t="shared" si="18"/>
        <v>3.7097555790300292</v>
      </c>
      <c r="Q73" s="45">
        <f t="shared" si="18"/>
        <v>14.711623676396181</v>
      </c>
      <c r="R73" s="45">
        <f t="shared" si="18"/>
        <v>364.67973408838287</v>
      </c>
    </row>
    <row r="75" spans="2:18" x14ac:dyDescent="0.3">
      <c r="B75" s="31" t="s">
        <v>49</v>
      </c>
      <c r="C75" s="10">
        <v>6.3949999999999996</v>
      </c>
      <c r="D75" s="10">
        <v>41.425999999999995</v>
      </c>
      <c r="E75" s="10">
        <v>0.65766666666666662</v>
      </c>
      <c r="F75" s="10">
        <v>21.077266180812359</v>
      </c>
      <c r="G75" s="10">
        <v>1.1911793517313336</v>
      </c>
      <c r="H75" s="10">
        <v>44.37717840442744</v>
      </c>
      <c r="I75" s="10">
        <v>142.50709898335424</v>
      </c>
      <c r="J75" s="10">
        <v>5.9379592985809593</v>
      </c>
      <c r="K75" s="10">
        <v>4.8083435053748156</v>
      </c>
      <c r="L75" s="10">
        <v>3.3556623442640046</v>
      </c>
      <c r="M75" s="10">
        <v>98.853192851103032</v>
      </c>
      <c r="N75" s="10">
        <v>787.09632191286153</v>
      </c>
      <c r="O75" s="10">
        <v>23.704175766257361</v>
      </c>
      <c r="P75" s="10">
        <v>12.809496428967719</v>
      </c>
      <c r="Q75" s="10">
        <v>21.151233749075978</v>
      </c>
      <c r="R75" s="10">
        <v>829.6142628996131</v>
      </c>
    </row>
    <row r="76" spans="2:18" x14ac:dyDescent="0.3">
      <c r="B76" s="31" t="s">
        <v>47</v>
      </c>
      <c r="C76" s="10">
        <v>4.7133333333333338</v>
      </c>
      <c r="D76" s="10">
        <v>29.473333333333333</v>
      </c>
      <c r="E76" s="10">
        <v>0.158</v>
      </c>
      <c r="F76" s="10">
        <v>135.61985624775119</v>
      </c>
      <c r="G76" s="10">
        <v>0.64331584347691606</v>
      </c>
      <c r="H76" s="10">
        <v>30.763940766388867</v>
      </c>
      <c r="I76" s="10">
        <v>118.61728412222082</v>
      </c>
      <c r="J76" s="10">
        <v>4.0500322790387129</v>
      </c>
      <c r="K76" s="10">
        <v>4.6139287887139382</v>
      </c>
      <c r="L76" s="10">
        <v>4.1672509916260809</v>
      </c>
      <c r="M76" s="10">
        <v>253.51872607145114</v>
      </c>
      <c r="N76" s="10">
        <v>791.24475935196176</v>
      </c>
      <c r="O76" s="10">
        <v>16.670307464334901</v>
      </c>
      <c r="P76" s="10">
        <v>13.928761215495777</v>
      </c>
      <c r="Q76" s="10">
        <v>15.065497963260507</v>
      </c>
      <c r="R76" s="10">
        <v>310.50719264811846</v>
      </c>
    </row>
    <row r="77" spans="2:18" x14ac:dyDescent="0.3">
      <c r="B77" s="31" t="s">
        <v>50</v>
      </c>
      <c r="C77" s="10">
        <v>4.8503333333333343</v>
      </c>
      <c r="D77" s="10">
        <v>28.826000000000004</v>
      </c>
      <c r="E77" s="10">
        <v>1.2873333333333334</v>
      </c>
      <c r="F77" s="10">
        <v>35.202999155243987</v>
      </c>
      <c r="G77" s="10">
        <v>1.745516393470572</v>
      </c>
      <c r="H77" s="10">
        <v>81.078096900524073</v>
      </c>
      <c r="I77" s="10">
        <v>252.15405204478893</v>
      </c>
      <c r="J77" s="10">
        <v>26.91780927169884</v>
      </c>
      <c r="K77" s="10">
        <v>3.1151940321632474</v>
      </c>
      <c r="L77" s="10">
        <v>8.5728619441704197</v>
      </c>
      <c r="M77" s="10">
        <v>343.87869308531822</v>
      </c>
      <c r="N77" s="10">
        <v>1179.3370641940667</v>
      </c>
      <c r="O77" s="10">
        <v>46.076271453151037</v>
      </c>
      <c r="P77" s="10">
        <v>35.415206646297015</v>
      </c>
      <c r="Q77" s="10">
        <v>37.831369827948443</v>
      </c>
      <c r="R77" s="10">
        <v>1197.5401631909651</v>
      </c>
    </row>
    <row r="78" spans="2:18" x14ac:dyDescent="0.3">
      <c r="B78" s="31" t="s">
        <v>48</v>
      </c>
      <c r="C78" s="10">
        <v>6.919999999999999</v>
      </c>
      <c r="D78" s="10">
        <v>38.936666666666667</v>
      </c>
      <c r="E78" s="10">
        <v>1.5936666666666666</v>
      </c>
      <c r="F78" s="10">
        <v>30.645545808054152</v>
      </c>
      <c r="G78" s="10">
        <v>0.78191005552178783</v>
      </c>
      <c r="H78" s="10">
        <v>61.021416302514126</v>
      </c>
      <c r="I78" s="10">
        <v>185.9256054837025</v>
      </c>
      <c r="J78" s="10">
        <v>7.1667463035975141</v>
      </c>
      <c r="K78" s="10">
        <v>5.1392677917970389</v>
      </c>
      <c r="L78" s="10">
        <v>5.2959185482349715</v>
      </c>
      <c r="M78" s="10">
        <v>90.153416408981698</v>
      </c>
      <c r="N78" s="10">
        <v>2224.1597734717034</v>
      </c>
      <c r="O78" s="10">
        <v>43.402919963723399</v>
      </c>
      <c r="P78" s="10">
        <v>27.488509795510964</v>
      </c>
      <c r="Q78" s="10">
        <v>14.249750662336652</v>
      </c>
      <c r="R78" s="10">
        <v>892.68269556035511</v>
      </c>
    </row>
    <row r="79" spans="2:18" x14ac:dyDescent="0.3">
      <c r="B79" s="1" t="s">
        <v>69</v>
      </c>
      <c r="C79" s="32">
        <f>AVERAGE(C75:C78)</f>
        <v>5.7196666666666669</v>
      </c>
      <c r="D79" s="32">
        <f t="shared" ref="D79:R79" si="19">AVERAGE(D75:D78)</f>
        <v>34.665500000000002</v>
      </c>
      <c r="E79" s="32">
        <f t="shared" si="19"/>
        <v>0.92416666666666669</v>
      </c>
      <c r="F79" s="32">
        <f t="shared" si="19"/>
        <v>55.636416847965421</v>
      </c>
      <c r="G79" s="32">
        <f t="shared" si="19"/>
        <v>1.0904804110501523</v>
      </c>
      <c r="H79" s="32">
        <f t="shared" si="19"/>
        <v>54.310158093463627</v>
      </c>
      <c r="I79" s="32">
        <f t="shared" si="19"/>
        <v>174.80101015851662</v>
      </c>
      <c r="J79" s="32">
        <f t="shared" si="19"/>
        <v>11.018136788229006</v>
      </c>
      <c r="K79" s="32">
        <f t="shared" si="19"/>
        <v>4.4191835295122601</v>
      </c>
      <c r="L79" s="32">
        <f t="shared" si="19"/>
        <v>5.3479234570738692</v>
      </c>
      <c r="M79" s="32">
        <f t="shared" si="19"/>
        <v>196.60100710421352</v>
      </c>
      <c r="N79" s="32">
        <f t="shared" si="19"/>
        <v>1245.4594797326483</v>
      </c>
      <c r="O79" s="32">
        <f t="shared" si="19"/>
        <v>32.463418661866676</v>
      </c>
      <c r="P79" s="32">
        <f t="shared" si="19"/>
        <v>22.410493521567869</v>
      </c>
      <c r="Q79" s="32">
        <f t="shared" si="19"/>
        <v>22.074463050655396</v>
      </c>
      <c r="R79" s="32">
        <f t="shared" si="19"/>
        <v>807.58607857476295</v>
      </c>
    </row>
    <row r="80" spans="2:18" x14ac:dyDescent="0.3">
      <c r="B80" s="1" t="s">
        <v>68</v>
      </c>
      <c r="C80" s="32">
        <f>STDEV(C75:C78)</f>
        <v>1.1053389290838094</v>
      </c>
      <c r="D80" s="32">
        <f t="shared" ref="D80:R80" si="20">STDEV(D75:D78)</f>
        <v>6.4551163141828525</v>
      </c>
      <c r="E80" s="32">
        <f t="shared" si="20"/>
        <v>0.64243129046067093</v>
      </c>
      <c r="F80" s="32">
        <f t="shared" si="20"/>
        <v>53.646229028680366</v>
      </c>
      <c r="G80" s="32">
        <f t="shared" si="20"/>
        <v>0.49476736274861455</v>
      </c>
      <c r="H80" s="32">
        <f t="shared" si="20"/>
        <v>21.715217173246057</v>
      </c>
      <c r="I80" s="32">
        <f t="shared" si="20"/>
        <v>58.613870601076933</v>
      </c>
      <c r="J80" s="32">
        <f t="shared" si="20"/>
        <v>10.677007657017683</v>
      </c>
      <c r="K80" s="32">
        <f t="shared" si="20"/>
        <v>0.89596896463765463</v>
      </c>
      <c r="L80" s="32">
        <f t="shared" si="20"/>
        <v>2.2924531669793442</v>
      </c>
      <c r="M80" s="32">
        <f t="shared" si="20"/>
        <v>123.58002572754563</v>
      </c>
      <c r="N80" s="32">
        <f t="shared" si="20"/>
        <v>677.8972969062994</v>
      </c>
      <c r="O80" s="32">
        <f t="shared" si="20"/>
        <v>14.504357359685491</v>
      </c>
      <c r="P80" s="32">
        <f t="shared" si="20"/>
        <v>10.939648696658667</v>
      </c>
      <c r="Q80" s="32">
        <f t="shared" si="20"/>
        <v>10.946600371619606</v>
      </c>
      <c r="R80" s="32">
        <f t="shared" si="20"/>
        <v>368.27448190626171</v>
      </c>
    </row>
    <row r="81" spans="2:18" x14ac:dyDescent="0.3"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</row>
    <row r="82" spans="2:18" x14ac:dyDescent="0.3">
      <c r="B82" s="34" t="s">
        <v>55</v>
      </c>
      <c r="C82" s="10">
        <v>21.219599946929812</v>
      </c>
      <c r="D82" s="10">
        <v>1.1172707632612293</v>
      </c>
      <c r="E82" s="10">
        <v>53.196491026944969</v>
      </c>
      <c r="F82" s="10">
        <v>162.40764784574822</v>
      </c>
      <c r="G82" s="10">
        <v>7.2948716284058204</v>
      </c>
      <c r="H82" s="10">
        <v>4.2778474771967954</v>
      </c>
      <c r="I82" s="10">
        <v>3.4917265392220793</v>
      </c>
      <c r="J82" s="10">
        <v>110.96136391646661</v>
      </c>
      <c r="K82" s="10">
        <v>0.89337681875707986</v>
      </c>
      <c r="L82" s="10">
        <v>27.602511907020087</v>
      </c>
      <c r="M82" s="10">
        <v>12.849237876101906</v>
      </c>
      <c r="N82" s="10">
        <v>22.977334853320517</v>
      </c>
      <c r="O82" s="10">
        <v>842.06525108883818</v>
      </c>
      <c r="P82" s="10">
        <v>5.8049999999999997</v>
      </c>
      <c r="Q82" s="10">
        <v>5.6150000000000002</v>
      </c>
      <c r="R82" s="10">
        <v>19.11</v>
      </c>
    </row>
    <row r="83" spans="2:18" x14ac:dyDescent="0.3">
      <c r="B83" s="34" t="s">
        <v>53</v>
      </c>
      <c r="C83" s="10">
        <v>146.6930121640782</v>
      </c>
      <c r="D83" s="10">
        <v>0.56469357940322262</v>
      </c>
      <c r="E83" s="10">
        <v>19.27536054233223</v>
      </c>
      <c r="F83" s="10">
        <v>97.027648553632787</v>
      </c>
      <c r="G83" s="10">
        <v>3.5772765533437427</v>
      </c>
      <c r="H83" s="10">
        <v>7.1686634766357624</v>
      </c>
      <c r="I83" s="10">
        <v>5.4509137130922616</v>
      </c>
      <c r="J83" s="10">
        <v>223.9283776087866</v>
      </c>
      <c r="K83" s="10">
        <v>1.0649335395673898</v>
      </c>
      <c r="L83" s="10">
        <v>11.642111002880689</v>
      </c>
      <c r="M83" s="10">
        <v>17.301708404203566</v>
      </c>
      <c r="N83" s="10">
        <v>9.1448012968947587</v>
      </c>
      <c r="O83" s="10">
        <v>281.24948421287121</v>
      </c>
      <c r="P83" s="10">
        <v>12.125</v>
      </c>
      <c r="Q83" s="10">
        <v>11.675000000000001</v>
      </c>
      <c r="R83" s="10">
        <v>10.76</v>
      </c>
    </row>
    <row r="84" spans="2:18" x14ac:dyDescent="0.3">
      <c r="B84" s="34" t="s">
        <v>54</v>
      </c>
      <c r="C84" s="10">
        <v>36.647449541241031</v>
      </c>
      <c r="D84" s="10">
        <v>1.6384806571421302</v>
      </c>
      <c r="E84" s="10">
        <v>90.045781483167744</v>
      </c>
      <c r="F84" s="10">
        <v>244.06669098924471</v>
      </c>
      <c r="G84" s="10">
        <v>37.868748854683446</v>
      </c>
      <c r="H84" s="10">
        <v>3.3247644554321178</v>
      </c>
      <c r="I84" s="10">
        <v>7.4370144974601331</v>
      </c>
      <c r="J84" s="10">
        <v>536.00876357534071</v>
      </c>
      <c r="K84" s="10">
        <v>1.1379585940643662</v>
      </c>
      <c r="L84" s="10">
        <v>44.700062494413217</v>
      </c>
      <c r="M84" s="10">
        <v>35.444468548149175</v>
      </c>
      <c r="N84" s="10">
        <v>38.69627296334739</v>
      </c>
      <c r="O84" s="10">
        <v>1052.8474414142552</v>
      </c>
      <c r="P84" s="10">
        <v>6.6449999999999996</v>
      </c>
      <c r="Q84" s="10">
        <v>6.6999999999999993</v>
      </c>
      <c r="R84" s="10">
        <v>9.57</v>
      </c>
    </row>
    <row r="85" spans="2:18" x14ac:dyDescent="0.3">
      <c r="B85" s="34" t="s">
        <v>52</v>
      </c>
      <c r="C85" s="10">
        <v>34.818832856141633</v>
      </c>
      <c r="D85" s="10">
        <v>0.87382385121765294</v>
      </c>
      <c r="E85" s="10">
        <v>51.449016520575356</v>
      </c>
      <c r="F85" s="10">
        <v>216.84373616945498</v>
      </c>
      <c r="G85" s="10">
        <v>7.6478869937241445</v>
      </c>
      <c r="H85" s="10">
        <v>4.198316416973622</v>
      </c>
      <c r="I85" s="10">
        <v>3.0154256627005926</v>
      </c>
      <c r="J85" s="10">
        <v>83.216828061673112</v>
      </c>
      <c r="K85" s="10">
        <v>2.1587229950969955</v>
      </c>
      <c r="L85" s="10">
        <v>39.100311760202189</v>
      </c>
      <c r="M85" s="10">
        <v>23.378933779667207</v>
      </c>
      <c r="N85" s="10">
        <v>15.639770454979185</v>
      </c>
      <c r="O85" s="10">
        <v>1002.1358283064123</v>
      </c>
      <c r="P85" s="10">
        <v>6.7200000000000006</v>
      </c>
      <c r="Q85" s="10">
        <v>6.47</v>
      </c>
      <c r="R85" s="10">
        <v>15.5</v>
      </c>
    </row>
    <row r="86" spans="2:18" x14ac:dyDescent="0.3">
      <c r="B86" s="1" t="s">
        <v>69</v>
      </c>
      <c r="C86" s="32">
        <f>AVERAGE(C82:C85)</f>
        <v>59.844723627097665</v>
      </c>
      <c r="D86" s="32">
        <f t="shared" ref="D86:R86" si="21">AVERAGE(D82:D85)</f>
        <v>1.0485672127560588</v>
      </c>
      <c r="E86" s="32">
        <f t="shared" si="21"/>
        <v>53.491662393255069</v>
      </c>
      <c r="F86" s="32">
        <f t="shared" si="21"/>
        <v>180.08643088952016</v>
      </c>
      <c r="G86" s="32">
        <f t="shared" si="21"/>
        <v>14.097196007539289</v>
      </c>
      <c r="H86" s="32">
        <f t="shared" si="21"/>
        <v>4.7423979565595742</v>
      </c>
      <c r="I86" s="32">
        <f t="shared" si="21"/>
        <v>4.8487701031187669</v>
      </c>
      <c r="J86" s="32">
        <f t="shared" si="21"/>
        <v>238.52883329056675</v>
      </c>
      <c r="K86" s="32">
        <f t="shared" si="21"/>
        <v>1.3137479868714577</v>
      </c>
      <c r="L86" s="32">
        <f t="shared" si="21"/>
        <v>30.761249291129044</v>
      </c>
      <c r="M86" s="32">
        <f t="shared" si="21"/>
        <v>22.243587152030464</v>
      </c>
      <c r="N86" s="32">
        <f t="shared" si="21"/>
        <v>21.614544892135463</v>
      </c>
      <c r="O86" s="32">
        <f t="shared" si="21"/>
        <v>794.57450125559421</v>
      </c>
      <c r="P86" s="32">
        <f t="shared" si="21"/>
        <v>7.8237500000000004</v>
      </c>
      <c r="Q86" s="32">
        <f t="shared" si="21"/>
        <v>7.6149999999999993</v>
      </c>
      <c r="R86" s="32">
        <f t="shared" si="21"/>
        <v>13.734999999999999</v>
      </c>
    </row>
    <row r="87" spans="2:18" x14ac:dyDescent="0.3">
      <c r="B87" s="1" t="s">
        <v>68</v>
      </c>
      <c r="C87" s="32">
        <f>STDEV(C82:C85)</f>
        <v>58.30647229655002</v>
      </c>
      <c r="D87" s="32">
        <f t="shared" ref="D87:R87" si="22">STDEV(D82:D85)</f>
        <v>0.45364706736084043</v>
      </c>
      <c r="E87" s="32">
        <f t="shared" si="22"/>
        <v>28.932210787112076</v>
      </c>
      <c r="F87" s="32">
        <f t="shared" si="22"/>
        <v>64.950940118676854</v>
      </c>
      <c r="G87" s="32">
        <f t="shared" si="22"/>
        <v>15.954316383578458</v>
      </c>
      <c r="H87" s="32">
        <f t="shared" si="22"/>
        <v>1.674144655938655</v>
      </c>
      <c r="I87" s="32">
        <f t="shared" si="22"/>
        <v>2.0219054580104276</v>
      </c>
      <c r="J87" s="32">
        <f t="shared" si="22"/>
        <v>207.44698956527142</v>
      </c>
      <c r="K87" s="32">
        <f t="shared" si="22"/>
        <v>0.57256883816658843</v>
      </c>
      <c r="L87" s="32">
        <f t="shared" si="22"/>
        <v>14.598510735985885</v>
      </c>
      <c r="M87" s="32">
        <f t="shared" si="22"/>
        <v>9.8018407365766702</v>
      </c>
      <c r="N87" s="32">
        <f t="shared" si="22"/>
        <v>12.71265859007049</v>
      </c>
      <c r="O87" s="32">
        <f t="shared" si="22"/>
        <v>353.81000576907178</v>
      </c>
      <c r="P87" s="32">
        <f t="shared" si="22"/>
        <v>2.8973446895390254</v>
      </c>
      <c r="Q87" s="32">
        <f t="shared" si="22"/>
        <v>2.7466252019523898</v>
      </c>
      <c r="R87" s="32">
        <f t="shared" si="22"/>
        <v>4.4046831138384226</v>
      </c>
    </row>
    <row r="88" spans="2:18" x14ac:dyDescent="0.3"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</row>
    <row r="89" spans="2:18" x14ac:dyDescent="0.3">
      <c r="B89" s="36" t="s">
        <v>59</v>
      </c>
      <c r="C89" s="10">
        <v>17.676761468618427</v>
      </c>
      <c r="D89" s="10">
        <v>0.9417007234972532</v>
      </c>
      <c r="E89" s="10">
        <v>42.0598660379313</v>
      </c>
      <c r="F89" s="10">
        <v>138.10496099509942</v>
      </c>
      <c r="G89" s="10">
        <v>4.5228973447886496</v>
      </c>
      <c r="H89" s="10">
        <v>1.9839725474818937</v>
      </c>
      <c r="I89" s="10">
        <v>2.2407316885592343</v>
      </c>
      <c r="J89" s="10">
        <v>93.115066840562733</v>
      </c>
      <c r="K89" s="10">
        <v>0.75167567734288532</v>
      </c>
      <c r="L89" s="10">
        <v>22.966321783566698</v>
      </c>
      <c r="M89" s="10">
        <v>8.847595994556368</v>
      </c>
      <c r="N89" s="10">
        <v>16.94571418944507</v>
      </c>
      <c r="O89" s="10">
        <v>753.32570722477726</v>
      </c>
      <c r="P89" s="10">
        <v>5.41</v>
      </c>
      <c r="Q89" s="10">
        <v>5.24</v>
      </c>
      <c r="R89" s="10">
        <v>6.84</v>
      </c>
    </row>
    <row r="90" spans="2:18" x14ac:dyDescent="0.3">
      <c r="B90" s="36" t="s">
        <v>57</v>
      </c>
      <c r="C90" s="10">
        <v>180.27312984271182</v>
      </c>
      <c r="D90" s="10">
        <v>0.76264848431483523</v>
      </c>
      <c r="E90" s="10">
        <v>22.46262065673951</v>
      </c>
      <c r="F90" s="10">
        <v>126.9732894641061</v>
      </c>
      <c r="G90" s="10">
        <v>5.2737828482045757</v>
      </c>
      <c r="H90" s="10">
        <v>3.2546377518659479</v>
      </c>
      <c r="I90" s="10">
        <v>4.0343551309302246</v>
      </c>
      <c r="J90" s="10">
        <v>188.09141286332761</v>
      </c>
      <c r="K90" s="10">
        <v>0.87227361693124394</v>
      </c>
      <c r="L90" s="10">
        <v>13.048425133601926</v>
      </c>
      <c r="M90" s="10">
        <v>10.915508132191563</v>
      </c>
      <c r="N90" s="10">
        <v>12.844776862677325</v>
      </c>
      <c r="O90" s="10">
        <v>479.90712425739594</v>
      </c>
      <c r="P90" s="10">
        <v>11.285</v>
      </c>
      <c r="Q90" s="10">
        <v>10.445</v>
      </c>
      <c r="R90" s="10">
        <v>6.66</v>
      </c>
    </row>
    <row r="91" spans="2:18" x14ac:dyDescent="0.3">
      <c r="B91" s="36" t="s">
        <v>58</v>
      </c>
      <c r="C91" s="10">
        <v>27.805464870480311</v>
      </c>
      <c r="D91" s="10">
        <v>1.5612196335299058</v>
      </c>
      <c r="E91" s="10">
        <v>80.043434408603986</v>
      </c>
      <c r="F91" s="10">
        <v>258.00517731754644</v>
      </c>
      <c r="G91" s="10">
        <v>40.186574175903608</v>
      </c>
      <c r="H91" s="10">
        <v>2.5263840712809547</v>
      </c>
      <c r="I91" s="10">
        <v>5.6012811987416606</v>
      </c>
      <c r="J91" s="10">
        <v>621.19581244707229</v>
      </c>
      <c r="K91" s="10">
        <v>0.95062247265382704</v>
      </c>
      <c r="L91" s="10">
        <v>39.858559811797797</v>
      </c>
      <c r="M91" s="10">
        <v>34.135005238852919</v>
      </c>
      <c r="N91" s="10">
        <v>112.82719926102064</v>
      </c>
      <c r="O91" s="10">
        <v>2187.7305236701386</v>
      </c>
      <c r="P91" s="10">
        <v>6.5350000000000001</v>
      </c>
      <c r="Q91" s="10">
        <v>6.415</v>
      </c>
      <c r="R91" s="10">
        <v>8.125</v>
      </c>
    </row>
    <row r="92" spans="2:18" x14ac:dyDescent="0.3">
      <c r="B92" s="36" t="s">
        <v>56</v>
      </c>
      <c r="C92" s="10">
        <v>38.605430583361056</v>
      </c>
      <c r="D92" s="10">
        <v>0.8797465614062252</v>
      </c>
      <c r="E92" s="10">
        <v>64.289427300429253</v>
      </c>
      <c r="F92" s="10">
        <v>206.92295767935602</v>
      </c>
      <c r="G92" s="10">
        <v>8.1829299877303505</v>
      </c>
      <c r="H92" s="10">
        <v>5.5195137292133314</v>
      </c>
      <c r="I92" s="10">
        <v>8.4755155401355342</v>
      </c>
      <c r="J92" s="10">
        <v>134.60717861790954</v>
      </c>
      <c r="K92" s="10">
        <v>2.8228586096354618</v>
      </c>
      <c r="L92" s="10">
        <v>43.442640147075359</v>
      </c>
      <c r="M92" s="10">
        <v>27.181258190620028</v>
      </c>
      <c r="N92" s="10">
        <v>14.490002451634844</v>
      </c>
      <c r="O92" s="10">
        <v>1077.1965558065972</v>
      </c>
      <c r="P92" s="10">
        <v>6.41</v>
      </c>
      <c r="Q92" s="10">
        <v>6.24</v>
      </c>
      <c r="R92" s="10">
        <v>10.39</v>
      </c>
    </row>
    <row r="93" spans="2:18" x14ac:dyDescent="0.3">
      <c r="B93" s="1" t="s">
        <v>69</v>
      </c>
      <c r="C93" s="32">
        <f>AVERAGE(C89:C92)</f>
        <v>66.090196691292903</v>
      </c>
      <c r="D93" s="32">
        <f t="shared" ref="D93:R93" si="23">AVERAGE(D89:D92)</f>
        <v>1.0363288506870549</v>
      </c>
      <c r="E93" s="32">
        <f t="shared" si="23"/>
        <v>52.213837100926014</v>
      </c>
      <c r="F93" s="32">
        <f t="shared" si="23"/>
        <v>182.50159636402699</v>
      </c>
      <c r="G93" s="32">
        <f t="shared" si="23"/>
        <v>14.541546089156796</v>
      </c>
      <c r="H93" s="32">
        <f t="shared" si="23"/>
        <v>3.321127024960532</v>
      </c>
      <c r="I93" s="32">
        <f t="shared" si="23"/>
        <v>5.0879708895916629</v>
      </c>
      <c r="J93" s="32">
        <f t="shared" si="23"/>
        <v>259.25236769221806</v>
      </c>
      <c r="K93" s="32">
        <f t="shared" si="23"/>
        <v>1.3493575941408547</v>
      </c>
      <c r="L93" s="32">
        <f t="shared" si="23"/>
        <v>29.828986719010445</v>
      </c>
      <c r="M93" s="32">
        <f t="shared" si="23"/>
        <v>20.269841889055222</v>
      </c>
      <c r="N93" s="32">
        <f t="shared" si="23"/>
        <v>39.27692319119447</v>
      </c>
      <c r="O93" s="32">
        <f t="shared" si="23"/>
        <v>1124.5399777397274</v>
      </c>
      <c r="P93" s="32">
        <f t="shared" si="23"/>
        <v>7.41</v>
      </c>
      <c r="Q93" s="32">
        <f t="shared" si="23"/>
        <v>7.0850000000000009</v>
      </c>
      <c r="R93" s="32">
        <f t="shared" si="23"/>
        <v>8.0037500000000001</v>
      </c>
    </row>
    <row r="94" spans="2:18" x14ac:dyDescent="0.3">
      <c r="B94" s="1" t="s">
        <v>68</v>
      </c>
      <c r="C94" s="32">
        <f>STDEV(C89:C92)</f>
        <v>76.600121826971787</v>
      </c>
      <c r="D94" s="32">
        <f t="shared" ref="D94:R94" si="24">STDEV(D89:D92)</f>
        <v>0.35771672806979854</v>
      </c>
      <c r="E94" s="32">
        <f t="shared" si="24"/>
        <v>25.222637803045245</v>
      </c>
      <c r="F94" s="32">
        <f t="shared" si="24"/>
        <v>61.513271534284421</v>
      </c>
      <c r="G94" s="32">
        <f t="shared" si="24"/>
        <v>17.169393528880853</v>
      </c>
      <c r="H94" s="32">
        <f t="shared" si="24"/>
        <v>1.5553052630632394</v>
      </c>
      <c r="I94" s="32">
        <f t="shared" si="24"/>
        <v>2.6429669860281138</v>
      </c>
      <c r="J94" s="32">
        <f t="shared" si="24"/>
        <v>244.40742254605198</v>
      </c>
      <c r="K94" s="32">
        <f t="shared" si="24"/>
        <v>0.98573622819838691</v>
      </c>
      <c r="L94" s="32">
        <f t="shared" si="24"/>
        <v>14.313249260980593</v>
      </c>
      <c r="M94" s="32">
        <f t="shared" si="24"/>
        <v>12.35558836207735</v>
      </c>
      <c r="N94" s="32">
        <f t="shared" si="24"/>
        <v>49.062462924686827</v>
      </c>
      <c r="O94" s="32">
        <f t="shared" si="24"/>
        <v>749.65927526640678</v>
      </c>
      <c r="P94" s="32">
        <f t="shared" si="24"/>
        <v>2.6319352828922926</v>
      </c>
      <c r="Q94" s="32">
        <f t="shared" si="24"/>
        <v>2.299025155727239</v>
      </c>
      <c r="R94" s="32">
        <f t="shared" si="24"/>
        <v>1.7193863973328769</v>
      </c>
    </row>
    <row r="95" spans="2:18" x14ac:dyDescent="0.3"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</row>
    <row r="96" spans="2:18" x14ac:dyDescent="0.3">
      <c r="B96" s="37" t="s">
        <v>60</v>
      </c>
      <c r="C96">
        <v>44.97</v>
      </c>
      <c r="D96">
        <v>150.91</v>
      </c>
      <c r="E96">
        <v>25.79</v>
      </c>
      <c r="F96">
        <v>101.43</v>
      </c>
      <c r="G96">
        <v>6.34</v>
      </c>
      <c r="H96">
        <v>24.96</v>
      </c>
      <c r="I96">
        <v>100.27</v>
      </c>
      <c r="J96">
        <v>105.58</v>
      </c>
      <c r="K96">
        <v>2.46</v>
      </c>
      <c r="L96">
        <v>14.63</v>
      </c>
      <c r="M96">
        <v>111.1</v>
      </c>
      <c r="N96">
        <v>602.65</v>
      </c>
      <c r="O96">
        <v>398.6</v>
      </c>
      <c r="P96">
        <v>11.08</v>
      </c>
      <c r="Q96">
        <v>16.850000000000001</v>
      </c>
      <c r="R96">
        <v>458.87</v>
      </c>
    </row>
    <row r="97" spans="2:20" x14ac:dyDescent="0.3">
      <c r="B97" s="36" t="s">
        <v>71</v>
      </c>
      <c r="C97">
        <v>44.08</v>
      </c>
      <c r="D97">
        <v>181.92</v>
      </c>
      <c r="E97">
        <v>27.95</v>
      </c>
      <c r="F97">
        <v>82.01</v>
      </c>
      <c r="G97">
        <v>11.47</v>
      </c>
      <c r="H97">
        <v>24.3</v>
      </c>
      <c r="I97">
        <v>88.56</v>
      </c>
      <c r="J97">
        <v>175.32</v>
      </c>
      <c r="K97">
        <v>1.34</v>
      </c>
      <c r="L97">
        <v>15.5</v>
      </c>
      <c r="M97">
        <v>103.78</v>
      </c>
      <c r="N97">
        <v>616.05999999999995</v>
      </c>
      <c r="O97">
        <v>583.89</v>
      </c>
      <c r="P97">
        <v>7.91</v>
      </c>
      <c r="Q97">
        <v>13.56</v>
      </c>
      <c r="R97">
        <v>462.58</v>
      </c>
      <c r="T97" t="s">
        <v>46</v>
      </c>
    </row>
    <row r="98" spans="2:20" x14ac:dyDescent="0.3"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</row>
    <row r="99" spans="2:20" x14ac:dyDescent="0.3">
      <c r="B99" s="38" t="s">
        <v>67</v>
      </c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</row>
    <row r="100" spans="2:20" x14ac:dyDescent="0.3">
      <c r="B100" s="1" t="s">
        <v>0</v>
      </c>
      <c r="C100" s="2" t="s">
        <v>1</v>
      </c>
      <c r="D100" s="1" t="s">
        <v>2</v>
      </c>
      <c r="E100" s="1" t="s">
        <v>3</v>
      </c>
      <c r="F100" s="1" t="s">
        <v>4</v>
      </c>
      <c r="G100" s="1" t="s">
        <v>5</v>
      </c>
      <c r="H100" s="1" t="s">
        <v>6</v>
      </c>
      <c r="I100" s="1" t="s">
        <v>7</v>
      </c>
      <c r="J100" s="1" t="s">
        <v>8</v>
      </c>
      <c r="K100" s="1" t="s">
        <v>9</v>
      </c>
      <c r="L100" s="1" t="s">
        <v>10</v>
      </c>
      <c r="M100" s="1" t="s">
        <v>11</v>
      </c>
      <c r="N100" s="1" t="s">
        <v>12</v>
      </c>
      <c r="O100" s="1" t="s">
        <v>13</v>
      </c>
      <c r="P100" s="1" t="s">
        <v>14</v>
      </c>
      <c r="Q100" s="1" t="s">
        <v>15</v>
      </c>
      <c r="R100" s="1" t="s">
        <v>16</v>
      </c>
    </row>
    <row r="101" spans="2:20" x14ac:dyDescent="0.3">
      <c r="B101" s="6" t="s">
        <v>51</v>
      </c>
      <c r="C101" s="4">
        <v>45.143333333333338</v>
      </c>
      <c r="D101" s="4">
        <v>415.94333333333333</v>
      </c>
      <c r="E101" s="4">
        <v>11.506666666666668</v>
      </c>
      <c r="F101" s="4">
        <v>21.264662287174716</v>
      </c>
      <c r="G101" s="4">
        <v>1.4669184518075011</v>
      </c>
      <c r="H101" s="4">
        <v>22.08322981516163</v>
      </c>
      <c r="I101" s="4">
        <v>126.61842471223328</v>
      </c>
      <c r="J101" s="4">
        <v>6.4927877647442838</v>
      </c>
      <c r="K101" s="4">
        <v>2.1158894434920406</v>
      </c>
      <c r="L101" s="4">
        <v>3.2813856837684412</v>
      </c>
      <c r="M101" s="4">
        <v>111.78363647229443</v>
      </c>
      <c r="N101" s="4">
        <v>492.73176867495329</v>
      </c>
      <c r="O101" s="4">
        <v>12.613548839103554</v>
      </c>
      <c r="P101" s="4">
        <v>4.5879925660835639</v>
      </c>
      <c r="Q101" s="4">
        <v>29.193785710306134</v>
      </c>
      <c r="R101" s="4">
        <v>686.17873291026251</v>
      </c>
    </row>
    <row r="102" spans="2:20" x14ac:dyDescent="0.3">
      <c r="B102" s="7" t="s">
        <v>26</v>
      </c>
      <c r="C102" s="4">
        <v>52.103333333333332</v>
      </c>
      <c r="D102" s="4">
        <v>472.67333333333335</v>
      </c>
      <c r="E102" s="4">
        <v>7.88</v>
      </c>
      <c r="F102" s="4">
        <v>16.031140870081245</v>
      </c>
      <c r="G102" s="4">
        <v>0.87658550900318644</v>
      </c>
      <c r="H102" s="4">
        <v>15.720587752224512</v>
      </c>
      <c r="I102" s="4">
        <v>123.56026970010346</v>
      </c>
      <c r="J102" s="4">
        <v>3.1074128193229091</v>
      </c>
      <c r="K102" s="4">
        <v>1.7438750522802309</v>
      </c>
      <c r="L102" s="4">
        <v>2.1998925963770324</v>
      </c>
      <c r="M102" s="4">
        <v>65.371671426404163</v>
      </c>
      <c r="N102" s="4">
        <v>507.34888807713753</v>
      </c>
      <c r="O102" s="4">
        <v>8.5834830332563108</v>
      </c>
      <c r="P102" s="4">
        <v>4.6450926106574055</v>
      </c>
      <c r="Q102" s="4">
        <v>11.539684416923889</v>
      </c>
      <c r="R102" s="4">
        <v>551.79938633449274</v>
      </c>
    </row>
    <row r="103" spans="2:20" x14ac:dyDescent="0.3">
      <c r="B103" s="31" t="s">
        <v>49</v>
      </c>
      <c r="C103" s="10">
        <v>6.3949999999999996</v>
      </c>
      <c r="D103" s="10">
        <v>41.425999999999995</v>
      </c>
      <c r="E103" s="10">
        <v>0.65766666666666662</v>
      </c>
      <c r="F103" s="10">
        <v>21.077266180812359</v>
      </c>
      <c r="G103" s="10">
        <v>1.1911793517313336</v>
      </c>
      <c r="H103" s="10">
        <v>44.37717840442744</v>
      </c>
      <c r="I103" s="10">
        <v>142.50709898335424</v>
      </c>
      <c r="J103" s="10">
        <v>5.9379592985809593</v>
      </c>
      <c r="K103" s="10">
        <v>4.8083435053748156</v>
      </c>
      <c r="L103" s="10">
        <v>3.3556623442640046</v>
      </c>
      <c r="M103" s="10">
        <v>98.853192851103032</v>
      </c>
      <c r="N103" s="10">
        <v>787.09632191286153</v>
      </c>
      <c r="O103" s="10">
        <v>23.704175766257361</v>
      </c>
      <c r="P103" s="10">
        <v>12.809496428967719</v>
      </c>
      <c r="Q103" s="10">
        <v>21.151233749075978</v>
      </c>
      <c r="R103" s="10">
        <v>829.6142628996131</v>
      </c>
    </row>
    <row r="104" spans="2:20" x14ac:dyDescent="0.3">
      <c r="B104" s="34" t="s">
        <v>55</v>
      </c>
      <c r="C104" s="10"/>
      <c r="D104" s="10"/>
      <c r="E104" s="10"/>
      <c r="F104" s="32">
        <v>21.219599946929812</v>
      </c>
      <c r="G104" s="32">
        <v>1.1172707632612293</v>
      </c>
      <c r="H104" s="32">
        <v>53.196491026944969</v>
      </c>
      <c r="I104" s="32">
        <v>162.40764784574822</v>
      </c>
      <c r="J104" s="32">
        <v>7.2948716284058204</v>
      </c>
      <c r="K104" s="32">
        <v>4.2778474771967954</v>
      </c>
      <c r="L104" s="32">
        <v>3.4917265392220793</v>
      </c>
      <c r="M104" s="32">
        <v>110.96136391646661</v>
      </c>
      <c r="N104" s="32">
        <v>0.89337681875707986</v>
      </c>
      <c r="O104" s="32">
        <v>27.602511907020087</v>
      </c>
      <c r="P104" s="32">
        <v>12.849237876101906</v>
      </c>
      <c r="Q104" s="32">
        <v>22.977334853320517</v>
      </c>
      <c r="R104" s="32">
        <v>842.06525108883818</v>
      </c>
    </row>
    <row r="105" spans="2:20" x14ac:dyDescent="0.3">
      <c r="B105" s="36" t="s">
        <v>63</v>
      </c>
      <c r="C105" s="10"/>
      <c r="D105" s="10"/>
      <c r="E105" s="10"/>
      <c r="F105" s="32">
        <v>17.676761468618427</v>
      </c>
      <c r="G105" s="32">
        <v>0.9417007234972532</v>
      </c>
      <c r="H105" s="32">
        <v>42.0598660379313</v>
      </c>
      <c r="I105" s="32">
        <v>138.10496099509942</v>
      </c>
      <c r="J105" s="32">
        <v>4.5228973447886496</v>
      </c>
      <c r="K105" s="32">
        <v>1.9839725474818937</v>
      </c>
      <c r="L105" s="32">
        <v>2.2407316885592343</v>
      </c>
      <c r="M105" s="32">
        <v>93.115066840562733</v>
      </c>
      <c r="N105" s="32">
        <v>0.75167567734288532</v>
      </c>
      <c r="O105" s="32">
        <v>22.966321783566698</v>
      </c>
      <c r="P105" s="32">
        <v>8.847595994556368</v>
      </c>
      <c r="Q105" s="32">
        <v>16.94571418944507</v>
      </c>
      <c r="R105" s="32">
        <v>753.32570722477726</v>
      </c>
    </row>
    <row r="106" spans="2:20" x14ac:dyDescent="0.3">
      <c r="B106" s="39" t="s">
        <v>61</v>
      </c>
      <c r="C106" s="40">
        <f>AVERAGE(C101:C105)</f>
        <v>34.547222222222224</v>
      </c>
      <c r="D106" s="41">
        <f t="shared" ref="D106:R106" si="25">AVERAGE(D101:D105)</f>
        <v>310.01422222222226</v>
      </c>
      <c r="E106" s="40">
        <f t="shared" si="25"/>
        <v>6.6814444444444447</v>
      </c>
      <c r="F106" s="40">
        <f t="shared" si="25"/>
        <v>19.45388615072331</v>
      </c>
      <c r="G106" s="40">
        <f t="shared" si="25"/>
        <v>1.1187309598601005</v>
      </c>
      <c r="H106" s="40">
        <f t="shared" si="25"/>
        <v>35.487470607337976</v>
      </c>
      <c r="I106" s="40">
        <f t="shared" si="25"/>
        <v>138.63968044730774</v>
      </c>
      <c r="J106" s="40">
        <f t="shared" si="25"/>
        <v>5.4711857711685248</v>
      </c>
      <c r="K106" s="40">
        <f t="shared" si="25"/>
        <v>2.9859856051651552</v>
      </c>
      <c r="L106" s="40">
        <f t="shared" si="25"/>
        <v>2.9138797704381583</v>
      </c>
      <c r="M106" s="40">
        <f t="shared" si="25"/>
        <v>96.016986301366188</v>
      </c>
      <c r="N106" s="40">
        <f t="shared" si="25"/>
        <v>357.76440623221049</v>
      </c>
      <c r="O106" s="40">
        <f t="shared" si="25"/>
        <v>19.094008265840802</v>
      </c>
      <c r="P106" s="40">
        <f t="shared" si="25"/>
        <v>8.7478830952733944</v>
      </c>
      <c r="Q106" s="40">
        <f t="shared" si="25"/>
        <v>20.361550583814317</v>
      </c>
      <c r="R106" s="40">
        <f t="shared" si="25"/>
        <v>732.59666809159683</v>
      </c>
    </row>
    <row r="107" spans="2:20" x14ac:dyDescent="0.3">
      <c r="B107" s="39" t="s">
        <v>68</v>
      </c>
      <c r="C107" s="40">
        <f>STDEV(C101:C105)</f>
        <v>24.627649340467666</v>
      </c>
      <c r="D107" s="40">
        <f t="shared" ref="D107:R107" si="26">STDEV(D101:D105)</f>
        <v>234.32733101874899</v>
      </c>
      <c r="E107" s="40">
        <f t="shared" si="26"/>
        <v>5.5229160608155929</v>
      </c>
      <c r="F107" s="40">
        <f t="shared" si="26"/>
        <v>2.4446561895516128</v>
      </c>
      <c r="G107" s="40">
        <f t="shared" si="26"/>
        <v>0.23262607074704808</v>
      </c>
      <c r="H107" s="40">
        <f t="shared" si="26"/>
        <v>15.860611744650612</v>
      </c>
      <c r="I107" s="40">
        <f t="shared" si="26"/>
        <v>15.427721341872038</v>
      </c>
      <c r="J107" s="40">
        <f t="shared" si="26"/>
        <v>1.6638848947975098</v>
      </c>
      <c r="K107" s="40">
        <f t="shared" si="26"/>
        <v>1.4399506533888409</v>
      </c>
      <c r="L107" s="40">
        <f t="shared" si="26"/>
        <v>0.6377784395705135</v>
      </c>
      <c r="M107" s="40">
        <f t="shared" si="26"/>
        <v>18.891282432979992</v>
      </c>
      <c r="N107" s="40">
        <f t="shared" si="26"/>
        <v>346.31366612091841</v>
      </c>
      <c r="O107" s="40">
        <f t="shared" si="26"/>
        <v>8.07945829897964</v>
      </c>
      <c r="P107" s="40">
        <f t="shared" si="26"/>
        <v>4.1068642401609319</v>
      </c>
      <c r="Q107" s="40">
        <f t="shared" si="26"/>
        <v>6.6137652875527984</v>
      </c>
      <c r="R107" s="40">
        <f t="shared" si="26"/>
        <v>119.0249545540736</v>
      </c>
    </row>
    <row r="109" spans="2:20" x14ac:dyDescent="0.3">
      <c r="B109" s="6" t="s">
        <v>65</v>
      </c>
      <c r="C109" s="4">
        <v>38.340000000000003</v>
      </c>
      <c r="D109" s="4">
        <v>276.05</v>
      </c>
      <c r="E109" s="4">
        <v>3.3566666666666665</v>
      </c>
      <c r="F109" s="4">
        <v>109.45790100726279</v>
      </c>
      <c r="G109" s="4">
        <v>0.61865898239390837</v>
      </c>
      <c r="H109" s="4">
        <v>10.896375768723333</v>
      </c>
      <c r="I109" s="4">
        <v>119.76660157379527</v>
      </c>
      <c r="J109" s="4">
        <v>3.792086065158021</v>
      </c>
      <c r="K109" s="4">
        <v>2.3169931050105763</v>
      </c>
      <c r="L109" s="4">
        <v>3.2900671125128835</v>
      </c>
      <c r="M109" s="4">
        <v>200.175431720787</v>
      </c>
      <c r="N109" s="4">
        <v>542.14861492446539</v>
      </c>
      <c r="O109" s="4">
        <v>6.6215246292766494</v>
      </c>
      <c r="P109" s="4">
        <v>5.2889706850945588</v>
      </c>
      <c r="Q109" s="4">
        <v>9.9744094600212669</v>
      </c>
      <c r="R109" s="4">
        <v>315.4685159788321</v>
      </c>
    </row>
    <row r="110" spans="2:20" x14ac:dyDescent="0.3">
      <c r="B110" s="7" t="s">
        <v>28</v>
      </c>
      <c r="C110" s="4">
        <v>37.218333333333334</v>
      </c>
      <c r="D110" s="4">
        <v>268.93166666666667</v>
      </c>
      <c r="E110" s="4">
        <v>3.7933333333333334</v>
      </c>
      <c r="F110" s="4">
        <v>98.952683506429878</v>
      </c>
      <c r="G110" s="4">
        <v>0.49973512919590979</v>
      </c>
      <c r="H110" s="4">
        <v>10.813702915889692</v>
      </c>
      <c r="I110" s="4">
        <v>94.432174450956069</v>
      </c>
      <c r="J110" s="4">
        <v>3.0642803958868599</v>
      </c>
      <c r="K110" s="4">
        <v>3.3699313309901</v>
      </c>
      <c r="L110" s="4">
        <v>3.9476691120591991</v>
      </c>
      <c r="M110" s="4">
        <v>184.24549699480784</v>
      </c>
      <c r="N110" s="4">
        <v>544.75435171314768</v>
      </c>
      <c r="O110" s="4">
        <v>5.288025747359054</v>
      </c>
      <c r="P110" s="4">
        <v>7.203602708741232</v>
      </c>
      <c r="Q110" s="4">
        <v>8.281111074097895</v>
      </c>
      <c r="R110" s="4">
        <v>229.67007150853289</v>
      </c>
    </row>
    <row r="111" spans="2:20" x14ac:dyDescent="0.3">
      <c r="B111" s="31" t="s">
        <v>47</v>
      </c>
      <c r="C111" s="10">
        <v>4.7133333333333338</v>
      </c>
      <c r="D111" s="10">
        <v>29.473333333333333</v>
      </c>
      <c r="E111" s="10">
        <v>0.158</v>
      </c>
      <c r="F111" s="10">
        <v>135.61985624775119</v>
      </c>
      <c r="G111" s="10">
        <v>0.64331584347691606</v>
      </c>
      <c r="H111" s="10">
        <v>30.763940766388867</v>
      </c>
      <c r="I111" s="10">
        <v>118.61728412222082</v>
      </c>
      <c r="J111" s="10">
        <v>4.0500322790387129</v>
      </c>
      <c r="K111" s="10">
        <v>4.6139287887139382</v>
      </c>
      <c r="L111" s="10">
        <v>4.1672509916260809</v>
      </c>
      <c r="M111" s="10">
        <v>253.51872607145114</v>
      </c>
      <c r="N111" s="10">
        <v>791.24475935196176</v>
      </c>
      <c r="O111" s="10">
        <v>16.670307464334901</v>
      </c>
      <c r="P111" s="10">
        <v>13.928761215495777</v>
      </c>
      <c r="Q111" s="10">
        <v>15.065497963260507</v>
      </c>
      <c r="R111" s="10">
        <v>310.50719264811846</v>
      </c>
    </row>
    <row r="112" spans="2:20" x14ac:dyDescent="0.3">
      <c r="B112" s="31" t="s">
        <v>64</v>
      </c>
      <c r="C112" s="10"/>
      <c r="D112" s="10"/>
      <c r="E112" s="10"/>
      <c r="F112" s="32">
        <v>146.6930121640782</v>
      </c>
      <c r="G112" s="32">
        <v>0.56469357940322262</v>
      </c>
      <c r="H112" s="32">
        <v>19.27536054233223</v>
      </c>
      <c r="I112" s="32">
        <v>97.027648553632787</v>
      </c>
      <c r="J112" s="32">
        <v>3.5772765533437427</v>
      </c>
      <c r="K112" s="32">
        <v>7.1686634766357624</v>
      </c>
      <c r="L112" s="32">
        <v>5.4509137130922616</v>
      </c>
      <c r="M112" s="32">
        <v>223.9283776087866</v>
      </c>
      <c r="N112" s="32">
        <v>1.0649335395673898</v>
      </c>
      <c r="O112" s="32">
        <v>11.642111002880689</v>
      </c>
      <c r="P112" s="32">
        <v>17.301708404203566</v>
      </c>
      <c r="Q112" s="32">
        <v>9.1448012968947587</v>
      </c>
      <c r="R112" s="32">
        <v>281.24948421287121</v>
      </c>
    </row>
    <row r="113" spans="2:18" x14ac:dyDescent="0.3">
      <c r="B113" s="36" t="s">
        <v>57</v>
      </c>
      <c r="C113" s="10">
        <v>180.27312984271182</v>
      </c>
      <c r="D113" s="10">
        <v>0.76264848431483523</v>
      </c>
      <c r="E113" s="10">
        <v>22.46262065673951</v>
      </c>
      <c r="F113" s="32">
        <v>180.27312984271182</v>
      </c>
      <c r="G113" s="32">
        <v>0.76264848431483523</v>
      </c>
      <c r="H113" s="32">
        <v>22.46262065673951</v>
      </c>
      <c r="I113" s="32">
        <v>126.9732894641061</v>
      </c>
      <c r="J113" s="32">
        <v>5.2737828482045757</v>
      </c>
      <c r="K113" s="32">
        <v>3.2546377518659479</v>
      </c>
      <c r="L113" s="32">
        <v>4.0343551309302246</v>
      </c>
      <c r="M113" s="32">
        <v>188.09141286332761</v>
      </c>
      <c r="N113" s="32">
        <v>0.87227361693124394</v>
      </c>
      <c r="O113" s="32">
        <v>13.048425133601926</v>
      </c>
      <c r="P113" s="32">
        <v>10.915508132191563</v>
      </c>
      <c r="Q113" s="32">
        <v>12.844776862677325</v>
      </c>
      <c r="R113" s="32">
        <v>479.90712425739594</v>
      </c>
    </row>
    <row r="114" spans="2:18" x14ac:dyDescent="0.3">
      <c r="B114" s="39" t="s">
        <v>62</v>
      </c>
      <c r="C114" s="41">
        <f>AVERAGE(C109:C113)</f>
        <v>65.136199127344625</v>
      </c>
      <c r="D114" s="40">
        <f t="shared" ref="D114:R114" si="27">AVERAGE(D109:D113)</f>
        <v>143.80441212107871</v>
      </c>
      <c r="E114" s="40">
        <f t="shared" si="27"/>
        <v>7.4426551641848775</v>
      </c>
      <c r="F114" s="42">
        <f t="shared" si="27"/>
        <v>134.19931655364678</v>
      </c>
      <c r="G114" s="40">
        <f t="shared" si="27"/>
        <v>0.6178104037569585</v>
      </c>
      <c r="H114" s="40">
        <f t="shared" si="27"/>
        <v>18.842400130014727</v>
      </c>
      <c r="I114" s="40">
        <f t="shared" si="27"/>
        <v>111.36339963294222</v>
      </c>
      <c r="J114" s="40">
        <f t="shared" si="27"/>
        <v>3.9514916283263823</v>
      </c>
      <c r="K114" s="40">
        <f t="shared" si="27"/>
        <v>4.1448308906432656</v>
      </c>
      <c r="L114" s="40">
        <f t="shared" si="27"/>
        <v>4.1780512120441298</v>
      </c>
      <c r="M114" s="40">
        <f t="shared" si="27"/>
        <v>209.99188905183206</v>
      </c>
      <c r="N114" s="40">
        <f t="shared" si="27"/>
        <v>376.01698662921478</v>
      </c>
      <c r="O114" s="40">
        <f t="shared" si="27"/>
        <v>10.654078795490644</v>
      </c>
      <c r="P114" s="40">
        <f t="shared" si="27"/>
        <v>10.927710229145339</v>
      </c>
      <c r="Q114" s="40">
        <f t="shared" si="27"/>
        <v>11.062119331390349</v>
      </c>
      <c r="R114" s="40">
        <f t="shared" si="27"/>
        <v>323.36047772115012</v>
      </c>
    </row>
    <row r="115" spans="2:18" x14ac:dyDescent="0.3">
      <c r="B115" s="39" t="s">
        <v>68</v>
      </c>
      <c r="C115" s="42">
        <f>STDEV(C109:C113)</f>
        <v>78.325983435641362</v>
      </c>
      <c r="D115" s="42">
        <f t="shared" ref="D115:R115" si="28">STDEV(D109:D113)</f>
        <v>149.08416757505734</v>
      </c>
      <c r="E115" s="42">
        <f t="shared" si="28"/>
        <v>10.143609089563046</v>
      </c>
      <c r="F115" s="42">
        <f t="shared" si="28"/>
        <v>32.153419018932752</v>
      </c>
      <c r="G115" s="42">
        <f t="shared" si="28"/>
        <v>9.7970001292223927E-2</v>
      </c>
      <c r="H115" s="42">
        <f t="shared" si="28"/>
        <v>8.4115376809446811</v>
      </c>
      <c r="I115" s="42">
        <f t="shared" si="28"/>
        <v>14.655045622196576</v>
      </c>
      <c r="J115" s="42">
        <f t="shared" si="28"/>
        <v>0.8232185549551706</v>
      </c>
      <c r="K115" s="42">
        <f t="shared" si="28"/>
        <v>1.87733324615982</v>
      </c>
      <c r="L115" s="42">
        <f t="shared" si="28"/>
        <v>0.7878032476571899</v>
      </c>
      <c r="M115" s="42">
        <f t="shared" si="28"/>
        <v>28.843030570659835</v>
      </c>
      <c r="N115" s="42">
        <f t="shared" si="28"/>
        <v>357.00445282692306</v>
      </c>
      <c r="O115" s="42">
        <f t="shared" si="28"/>
        <v>4.6893530429128161</v>
      </c>
      <c r="P115" s="42">
        <f t="shared" si="28"/>
        <v>4.881051862013531</v>
      </c>
      <c r="Q115" s="42">
        <f t="shared" si="28"/>
        <v>2.8194918194939653</v>
      </c>
      <c r="R115" s="42">
        <f t="shared" si="28"/>
        <v>93.92226909736938</v>
      </c>
    </row>
    <row r="117" spans="2:18" x14ac:dyDescent="0.3">
      <c r="B117" s="6" t="s">
        <v>20</v>
      </c>
      <c r="C117" s="4">
        <v>50.126666666666665</v>
      </c>
      <c r="D117" s="4">
        <v>281.48333333333335</v>
      </c>
      <c r="E117" s="4">
        <v>10.130000000000001</v>
      </c>
      <c r="F117" s="4">
        <v>21.020297149914008</v>
      </c>
      <c r="G117" s="4">
        <v>1.5872359791531627</v>
      </c>
      <c r="H117" s="4">
        <v>45.923576049275759</v>
      </c>
      <c r="I117" s="4">
        <v>223.87466251491253</v>
      </c>
      <c r="J117" s="4">
        <v>31.448582386786047</v>
      </c>
      <c r="K117" s="4">
        <v>2.6573015654313616</v>
      </c>
      <c r="L117" s="4">
        <v>4.0778897338846001</v>
      </c>
      <c r="M117" s="4">
        <v>263.71263105628964</v>
      </c>
      <c r="N117" s="4">
        <v>965.44302394086833</v>
      </c>
      <c r="O117" s="4">
        <v>22.052491783640413</v>
      </c>
      <c r="P117" s="4">
        <v>16.761131816250234</v>
      </c>
      <c r="Q117" s="4">
        <v>53.908100016854164</v>
      </c>
      <c r="R117" s="4">
        <v>1312.5267772794134</v>
      </c>
    </row>
    <row r="118" spans="2:18" x14ac:dyDescent="0.3">
      <c r="B118" s="7" t="s">
        <v>25</v>
      </c>
      <c r="C118" s="4">
        <v>47.616666666666667</v>
      </c>
      <c r="D118" s="4">
        <v>305.32</v>
      </c>
      <c r="E118" s="4">
        <v>12.023333333333335</v>
      </c>
      <c r="F118" s="4">
        <v>30.344169046739989</v>
      </c>
      <c r="G118" s="4">
        <v>1.4988455748272045</v>
      </c>
      <c r="H118" s="4">
        <v>56.469972197937778</v>
      </c>
      <c r="I118" s="4">
        <v>221.09735981188931</v>
      </c>
      <c r="J118" s="4">
        <v>15.764296909218732</v>
      </c>
      <c r="K118" s="4">
        <v>2.58005216240289</v>
      </c>
      <c r="L118" s="4">
        <v>7.0237281318884586</v>
      </c>
      <c r="M118" s="4">
        <v>266.76350610335567</v>
      </c>
      <c r="N118" s="4">
        <v>1021.8354398139161</v>
      </c>
      <c r="O118" s="4">
        <v>27.961731602036103</v>
      </c>
      <c r="P118" s="4">
        <v>13.272611919608092</v>
      </c>
      <c r="Q118" s="4">
        <v>40.345114427147706</v>
      </c>
      <c r="R118" s="4">
        <v>1101.9998564726657</v>
      </c>
    </row>
    <row r="119" spans="2:18" x14ac:dyDescent="0.3">
      <c r="B119" s="31" t="s">
        <v>50</v>
      </c>
      <c r="C119" s="10">
        <v>4.8503333333333343</v>
      </c>
      <c r="D119" s="10">
        <v>28.826000000000004</v>
      </c>
      <c r="E119" s="10">
        <v>1.2873333333333334</v>
      </c>
      <c r="F119" s="10">
        <v>35.202999155243987</v>
      </c>
      <c r="G119" s="10">
        <v>1.745516393470572</v>
      </c>
      <c r="H119" s="10">
        <v>81.078096900524073</v>
      </c>
      <c r="I119" s="10">
        <v>252.15405204478893</v>
      </c>
      <c r="J119" s="10">
        <v>26.91780927169884</v>
      </c>
      <c r="K119" s="10">
        <v>3.1151940321632474</v>
      </c>
      <c r="L119" s="10">
        <v>8.5728619441704197</v>
      </c>
      <c r="M119" s="10">
        <v>343.87869308531822</v>
      </c>
      <c r="N119" s="10">
        <v>1179.3370641940667</v>
      </c>
      <c r="O119" s="10">
        <v>46.076271453151037</v>
      </c>
      <c r="P119" s="10">
        <v>35.415206646297015</v>
      </c>
      <c r="Q119" s="10">
        <v>37.831369827948443</v>
      </c>
      <c r="R119" s="10">
        <v>1197.5401631909651</v>
      </c>
    </row>
    <row r="120" spans="2:18" x14ac:dyDescent="0.3">
      <c r="B120" s="34" t="s">
        <v>54</v>
      </c>
      <c r="C120" s="10">
        <v>36.647449541241031</v>
      </c>
      <c r="D120" s="10">
        <v>1.6384806571421302</v>
      </c>
      <c r="E120" s="10">
        <v>90.045781483167744</v>
      </c>
      <c r="F120" s="32">
        <v>36.647449541241031</v>
      </c>
      <c r="G120" s="32">
        <v>1.6384806571421302</v>
      </c>
      <c r="H120" s="32">
        <v>90.045781483167744</v>
      </c>
      <c r="I120" s="32">
        <v>244.06669098924471</v>
      </c>
      <c r="J120" s="32">
        <v>37.868748854683446</v>
      </c>
      <c r="K120" s="32">
        <v>3.3247644554321178</v>
      </c>
      <c r="L120" s="32">
        <v>7.4370144974601331</v>
      </c>
      <c r="M120" s="32">
        <v>536.00876357534071</v>
      </c>
      <c r="N120" s="32">
        <v>1.1379585940643662</v>
      </c>
      <c r="O120" s="32">
        <v>44.700062494413217</v>
      </c>
      <c r="P120" s="32">
        <v>35.444468548149175</v>
      </c>
      <c r="Q120" s="32">
        <v>38.69627296334739</v>
      </c>
      <c r="R120" s="32">
        <v>1052.8474414142552</v>
      </c>
    </row>
    <row r="121" spans="2:18" x14ac:dyDescent="0.3">
      <c r="B121" s="36" t="s">
        <v>58</v>
      </c>
      <c r="C121" s="10"/>
      <c r="D121" s="10"/>
      <c r="E121" s="10"/>
      <c r="F121" s="32">
        <v>27.805464870480311</v>
      </c>
      <c r="G121" s="32">
        <v>1.5612196335299058</v>
      </c>
      <c r="H121" s="32">
        <v>80.043434408603986</v>
      </c>
      <c r="I121" s="32">
        <v>258.00517731754644</v>
      </c>
      <c r="J121" s="32">
        <v>40.186574175903608</v>
      </c>
      <c r="K121" s="32">
        <v>2.5263840712809547</v>
      </c>
      <c r="L121" s="32">
        <v>5.6012811987416606</v>
      </c>
      <c r="M121" s="32">
        <v>621.19581244707229</v>
      </c>
      <c r="N121" s="32">
        <v>0.95062247265382704</v>
      </c>
      <c r="O121" s="32">
        <v>39.858559811797797</v>
      </c>
      <c r="P121" s="32">
        <v>34.135005238852919</v>
      </c>
      <c r="Q121" s="32">
        <v>112.82719926102064</v>
      </c>
      <c r="R121" s="32">
        <v>2187.7305236701386</v>
      </c>
    </row>
    <row r="122" spans="2:18" x14ac:dyDescent="0.3">
      <c r="B122" s="39" t="s">
        <v>61</v>
      </c>
      <c r="C122" s="40">
        <f>AVERAGE(C117:C121)</f>
        <v>34.810279051976927</v>
      </c>
      <c r="D122" s="40">
        <f t="shared" ref="D122:R122" si="29">AVERAGE(D117:D121)</f>
        <v>154.31695349761887</v>
      </c>
      <c r="E122" s="41">
        <f t="shared" si="29"/>
        <v>28.371612037458604</v>
      </c>
      <c r="F122" s="41">
        <f t="shared" si="29"/>
        <v>30.204075952723866</v>
      </c>
      <c r="G122" s="41">
        <f t="shared" si="29"/>
        <v>1.6062596476245949</v>
      </c>
      <c r="H122" s="41">
        <f t="shared" si="29"/>
        <v>70.712172207901858</v>
      </c>
      <c r="I122" s="41">
        <f t="shared" si="29"/>
        <v>239.83958853567637</v>
      </c>
      <c r="J122" s="41">
        <f t="shared" si="29"/>
        <v>30.437202319658134</v>
      </c>
      <c r="K122" s="40">
        <f t="shared" si="29"/>
        <v>2.840739257342114</v>
      </c>
      <c r="L122" s="41">
        <f t="shared" si="29"/>
        <v>6.5425551012290537</v>
      </c>
      <c r="M122" s="41">
        <f t="shared" si="29"/>
        <v>406.31188125347529</v>
      </c>
      <c r="N122" s="40">
        <f t="shared" si="29"/>
        <v>633.74082180311393</v>
      </c>
      <c r="O122" s="41">
        <f t="shared" si="29"/>
        <v>36.129823429007715</v>
      </c>
      <c r="P122" s="41">
        <f t="shared" si="29"/>
        <v>27.005684833831488</v>
      </c>
      <c r="Q122" s="41">
        <f t="shared" si="29"/>
        <v>56.721611299263671</v>
      </c>
      <c r="R122" s="41">
        <f t="shared" si="29"/>
        <v>1370.5289524054876</v>
      </c>
    </row>
    <row r="123" spans="2:18" x14ac:dyDescent="0.3">
      <c r="B123" s="39" t="s">
        <v>68</v>
      </c>
      <c r="C123" s="40">
        <f>STDEV(C117:C121)</f>
        <v>20.813207634991393</v>
      </c>
      <c r="D123" s="40">
        <f t="shared" ref="D123:R123" si="30">STDEV(D117:D121)</f>
        <v>161.27812797789542</v>
      </c>
      <c r="E123" s="40">
        <f t="shared" si="30"/>
        <v>41.381493271162036</v>
      </c>
      <c r="F123" s="40">
        <f t="shared" si="30"/>
        <v>6.2574166131816336</v>
      </c>
      <c r="G123" s="40">
        <f t="shared" si="30"/>
        <v>9.2680797073374371E-2</v>
      </c>
      <c r="H123" s="40">
        <f t="shared" si="30"/>
        <v>18.612012634581578</v>
      </c>
      <c r="I123" s="40">
        <f t="shared" si="30"/>
        <v>16.62568060896638</v>
      </c>
      <c r="J123" s="40">
        <f t="shared" si="30"/>
        <v>9.7337210991417429</v>
      </c>
      <c r="K123" s="40">
        <f t="shared" si="30"/>
        <v>0.35708267498337404</v>
      </c>
      <c r="L123" s="40">
        <f t="shared" si="30"/>
        <v>1.7402803585863358</v>
      </c>
      <c r="M123" s="40">
        <f t="shared" si="30"/>
        <v>163.32680683058803</v>
      </c>
      <c r="N123" s="40">
        <f t="shared" si="30"/>
        <v>582.86552095060574</v>
      </c>
      <c r="O123" s="40">
        <f t="shared" si="30"/>
        <v>10.620420086971961</v>
      </c>
      <c r="P123" s="40">
        <f t="shared" si="30"/>
        <v>11.026201695577578</v>
      </c>
      <c r="Q123" s="40">
        <f t="shared" si="30"/>
        <v>32.037854723131687</v>
      </c>
      <c r="R123" s="40">
        <f t="shared" si="30"/>
        <v>467.47652330861661</v>
      </c>
    </row>
    <row r="125" spans="2:18" x14ac:dyDescent="0.3">
      <c r="B125" s="6" t="s">
        <v>22</v>
      </c>
      <c r="C125" s="4">
        <v>48.546666666666667</v>
      </c>
      <c r="D125" s="4">
        <v>429.60666666666663</v>
      </c>
      <c r="E125" s="4">
        <v>26.563333333333333</v>
      </c>
      <c r="F125" s="4">
        <v>29.460097829082976</v>
      </c>
      <c r="G125" s="4">
        <v>0.76863830395602417</v>
      </c>
      <c r="H125" s="4">
        <v>53.777642339943725</v>
      </c>
      <c r="I125" s="4">
        <v>181.3180046253388</v>
      </c>
      <c r="J125" s="4">
        <v>6.6638967821844242</v>
      </c>
      <c r="K125" s="4">
        <v>3.0068871181967443</v>
      </c>
      <c r="L125" s="4">
        <v>2.2312907427395943</v>
      </c>
      <c r="M125" s="4">
        <v>95.639517237065647</v>
      </c>
      <c r="N125" s="4">
        <v>1281.1548581388547</v>
      </c>
      <c r="O125" s="4">
        <v>50.150161778904383</v>
      </c>
      <c r="P125" s="4">
        <v>9.2757162561102184</v>
      </c>
      <c r="Q125" s="4">
        <v>22.479586699822484</v>
      </c>
      <c r="R125" s="4">
        <v>917.58937235808412</v>
      </c>
    </row>
    <row r="126" spans="2:18" x14ac:dyDescent="0.3">
      <c r="B126" s="7" t="s">
        <v>27</v>
      </c>
      <c r="C126" s="4">
        <v>53.77</v>
      </c>
      <c r="D126" s="4">
        <v>421.14333333333337</v>
      </c>
      <c r="E126" s="4">
        <v>14.016666666666667</v>
      </c>
      <c r="F126" s="4">
        <v>29.140764112318976</v>
      </c>
      <c r="G126" s="4">
        <v>0.65993255671009254</v>
      </c>
      <c r="H126" s="4">
        <v>34.094524811166217</v>
      </c>
      <c r="I126" s="4">
        <v>175.73309753151221</v>
      </c>
      <c r="J126" s="4">
        <v>5.9777744887863324</v>
      </c>
      <c r="K126" s="4">
        <v>3.044726715506465</v>
      </c>
      <c r="L126" s="4">
        <v>2.8385635108218388</v>
      </c>
      <c r="M126" s="4">
        <v>77.831444249618727</v>
      </c>
      <c r="N126" s="4">
        <v>1472.1746844635497</v>
      </c>
      <c r="O126" s="4">
        <v>32.329919900583675</v>
      </c>
      <c r="P126" s="4">
        <v>10.013232671538608</v>
      </c>
      <c r="Q126" s="4">
        <v>14.114280893701451</v>
      </c>
      <c r="R126" s="4">
        <v>742.27769459663273</v>
      </c>
    </row>
    <row r="127" spans="2:18" x14ac:dyDescent="0.3">
      <c r="B127" s="31" t="s">
        <v>48</v>
      </c>
      <c r="C127" s="10">
        <v>6.919999999999999</v>
      </c>
      <c r="D127" s="10">
        <v>38.936666666666667</v>
      </c>
      <c r="E127" s="10">
        <v>1.5936666666666666</v>
      </c>
      <c r="F127" s="10">
        <v>30.645545808054152</v>
      </c>
      <c r="G127" s="10">
        <v>0.78191005552178783</v>
      </c>
      <c r="H127" s="10">
        <v>61.021416302514126</v>
      </c>
      <c r="I127" s="10">
        <v>185.9256054837025</v>
      </c>
      <c r="J127" s="10">
        <v>7.1667463035975141</v>
      </c>
      <c r="K127" s="10">
        <v>5.1392677917970389</v>
      </c>
      <c r="L127" s="10">
        <v>5.2959185482349715</v>
      </c>
      <c r="M127" s="10">
        <v>90.153416408981698</v>
      </c>
      <c r="N127" s="10">
        <v>2224.1597734717034</v>
      </c>
      <c r="O127" s="10">
        <v>43.402919963723399</v>
      </c>
      <c r="P127" s="10">
        <v>27.488509795510964</v>
      </c>
      <c r="Q127" s="10">
        <v>14.249750662336652</v>
      </c>
      <c r="R127" s="10">
        <v>892.68269556035511</v>
      </c>
    </row>
    <row r="128" spans="2:18" x14ac:dyDescent="0.3">
      <c r="B128" s="34" t="s">
        <v>52</v>
      </c>
      <c r="C128" s="10"/>
      <c r="D128" s="10"/>
      <c r="E128" s="10"/>
      <c r="F128" s="32">
        <v>34.82</v>
      </c>
      <c r="G128" s="32">
        <v>0.92500000000000004</v>
      </c>
      <c r="H128" s="32">
        <v>51</v>
      </c>
      <c r="I128" s="32">
        <v>216.84500000000003</v>
      </c>
      <c r="J128" s="32">
        <v>7.6449999999999996</v>
      </c>
      <c r="K128" s="32">
        <v>4.2</v>
      </c>
      <c r="L128" s="32">
        <v>3.0154256627005926</v>
      </c>
      <c r="M128" s="32">
        <v>83.216828061673112</v>
      </c>
      <c r="N128" s="32">
        <v>2.1587229950969955</v>
      </c>
      <c r="O128" s="32">
        <v>39.100311760202189</v>
      </c>
      <c r="P128" s="32">
        <v>23.378933779667207</v>
      </c>
      <c r="Q128" s="32">
        <v>15.639770454979185</v>
      </c>
      <c r="R128" s="32">
        <v>1002.1358283064123</v>
      </c>
    </row>
    <row r="129" spans="2:18" x14ac:dyDescent="0.3">
      <c r="B129" s="36" t="s">
        <v>56</v>
      </c>
      <c r="C129" s="10"/>
      <c r="D129" s="10"/>
      <c r="E129" s="10"/>
      <c r="F129" s="32">
        <v>38.605430583361056</v>
      </c>
      <c r="G129" s="32">
        <v>0.8797465614062252</v>
      </c>
      <c r="H129" s="32">
        <v>64.289427300429253</v>
      </c>
      <c r="I129" s="32">
        <v>206.92295767935602</v>
      </c>
      <c r="J129" s="32">
        <v>8.1829299877303505</v>
      </c>
      <c r="K129" s="32">
        <v>5.5195137292133314</v>
      </c>
      <c r="L129" s="32">
        <v>8.4755155401355342</v>
      </c>
      <c r="M129" s="32">
        <v>134.60717861790954</v>
      </c>
      <c r="N129" s="32">
        <v>2.8228586096354618</v>
      </c>
      <c r="O129" s="32">
        <v>43.442640147075359</v>
      </c>
      <c r="P129" s="32">
        <v>27.181258190620028</v>
      </c>
      <c r="Q129" s="32">
        <v>14.490002451634844</v>
      </c>
      <c r="R129" s="32">
        <v>1077.1965558065972</v>
      </c>
    </row>
    <row r="130" spans="2:18" x14ac:dyDescent="0.3">
      <c r="B130" s="39" t="s">
        <v>61</v>
      </c>
      <c r="C130" s="40">
        <f>AVERAGE(C125:C129)</f>
        <v>36.412222222222219</v>
      </c>
      <c r="D130" s="40">
        <f t="shared" ref="D130:R130" si="31">AVERAGE(D125:D129)</f>
        <v>296.56222222222226</v>
      </c>
      <c r="E130" s="40">
        <f t="shared" si="31"/>
        <v>14.057888888888888</v>
      </c>
      <c r="F130" s="40">
        <f t="shared" si="31"/>
        <v>32.534367666563426</v>
      </c>
      <c r="G130" s="40">
        <f t="shared" si="31"/>
        <v>0.80304549551882598</v>
      </c>
      <c r="H130" s="40">
        <f t="shared" si="31"/>
        <v>52.836602150810663</v>
      </c>
      <c r="I130" s="40">
        <f t="shared" si="31"/>
        <v>193.34893306398192</v>
      </c>
      <c r="J130" s="40">
        <f t="shared" si="31"/>
        <v>7.1272695124597245</v>
      </c>
      <c r="K130" s="41">
        <f t="shared" si="31"/>
        <v>4.1820790709427156</v>
      </c>
      <c r="L130" s="40">
        <f t="shared" si="31"/>
        <v>4.3713428009265058</v>
      </c>
      <c r="M130" s="40">
        <f t="shared" si="31"/>
        <v>96.289676915049739</v>
      </c>
      <c r="N130" s="41">
        <f t="shared" si="31"/>
        <v>996.49417953576813</v>
      </c>
      <c r="O130" s="40">
        <f t="shared" si="31"/>
        <v>41.685190710097807</v>
      </c>
      <c r="P130" s="40">
        <f t="shared" si="31"/>
        <v>19.467530138689405</v>
      </c>
      <c r="Q130" s="40">
        <f t="shared" si="31"/>
        <v>16.194678232494926</v>
      </c>
      <c r="R130" s="40">
        <f t="shared" si="31"/>
        <v>926.3764293256163</v>
      </c>
    </row>
    <row r="131" spans="2:18" x14ac:dyDescent="0.3">
      <c r="B131" s="39" t="s">
        <v>68</v>
      </c>
      <c r="C131" s="40">
        <f>STDEV(C125:C129)</f>
        <v>25.674192908083445</v>
      </c>
      <c r="D131" s="40">
        <f t="shared" ref="D131:R131" si="32">STDEV(D125:D129)</f>
        <v>223.15040255231281</v>
      </c>
      <c r="E131" s="40">
        <f t="shared" si="32"/>
        <v>12.484884373305782</v>
      </c>
      <c r="F131" s="40">
        <f t="shared" si="32"/>
        <v>4.0809694998116948</v>
      </c>
      <c r="G131" s="40">
        <f t="shared" si="32"/>
        <v>0.10352273854218216</v>
      </c>
      <c r="H131" s="40">
        <f t="shared" si="32"/>
        <v>11.765229637673905</v>
      </c>
      <c r="I131" s="40">
        <f t="shared" si="32"/>
        <v>17.65280430050376</v>
      </c>
      <c r="J131" s="40">
        <f t="shared" si="32"/>
        <v>0.85441140711433772</v>
      </c>
      <c r="K131" s="40">
        <f t="shared" si="32"/>
        <v>1.1597315829953629</v>
      </c>
      <c r="L131" s="40">
        <f t="shared" si="32"/>
        <v>2.572295698176831</v>
      </c>
      <c r="M131" s="40">
        <f t="shared" si="32"/>
        <v>22.460593645473178</v>
      </c>
      <c r="N131" s="40">
        <f t="shared" si="32"/>
        <v>973.46701913960885</v>
      </c>
      <c r="O131" s="40">
        <f t="shared" si="32"/>
        <v>6.5554871789399298</v>
      </c>
      <c r="P131" s="40">
        <f t="shared" si="32"/>
        <v>9.1158324410260043</v>
      </c>
      <c r="Q131" s="40">
        <f t="shared" si="32"/>
        <v>3.5645726582054844</v>
      </c>
      <c r="R131" s="40">
        <f t="shared" si="32"/>
        <v>126.08630107953799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F71ED-4EB3-42B3-BCE6-F73348B23458}">
  <dimension ref="A4:U114"/>
  <sheetViews>
    <sheetView topLeftCell="A91" zoomScale="120" zoomScaleNormal="120" workbookViewId="0">
      <selection activeCell="A41" sqref="A41"/>
    </sheetView>
  </sheetViews>
  <sheetFormatPr defaultRowHeight="14.4" x14ac:dyDescent="0.3"/>
  <cols>
    <col min="1" max="1" width="20.88671875" customWidth="1"/>
    <col min="2" max="2" width="18.88671875" customWidth="1"/>
    <col min="9" max="9" width="9.5546875" customWidth="1"/>
    <col min="10" max="10" width="8.21875" customWidth="1"/>
    <col min="11" max="11" width="9.88671875" customWidth="1"/>
    <col min="12" max="12" width="10.21875" customWidth="1"/>
    <col min="13" max="13" width="8.33203125" customWidth="1"/>
  </cols>
  <sheetData>
    <row r="4" spans="1:18" x14ac:dyDescent="0.3">
      <c r="B4" s="26" t="s">
        <v>170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</row>
    <row r="5" spans="1:18" x14ac:dyDescent="0.3">
      <c r="B5" s="1" t="s">
        <v>0</v>
      </c>
      <c r="C5" s="2" t="s">
        <v>1</v>
      </c>
      <c r="D5" s="1" t="s">
        <v>14</v>
      </c>
      <c r="E5" s="1" t="s">
        <v>9</v>
      </c>
      <c r="F5" s="1" t="s">
        <v>3</v>
      </c>
      <c r="G5" s="1" t="s">
        <v>4</v>
      </c>
      <c r="H5" s="1" t="s">
        <v>10</v>
      </c>
      <c r="I5" s="1" t="s">
        <v>2</v>
      </c>
      <c r="J5" s="1" t="s">
        <v>5</v>
      </c>
      <c r="K5" s="1" t="s">
        <v>6</v>
      </c>
      <c r="L5" s="1" t="s">
        <v>7</v>
      </c>
      <c r="M5" s="1" t="s">
        <v>8</v>
      </c>
      <c r="N5" s="1" t="s">
        <v>11</v>
      </c>
      <c r="O5" s="1" t="s">
        <v>12</v>
      </c>
      <c r="P5" s="1" t="s">
        <v>13</v>
      </c>
      <c r="Q5" s="1" t="s">
        <v>15</v>
      </c>
      <c r="R5" s="1" t="s">
        <v>16</v>
      </c>
    </row>
    <row r="6" spans="1:18" x14ac:dyDescent="0.3">
      <c r="A6" s="96">
        <v>44440</v>
      </c>
      <c r="B6" s="6" t="s">
        <v>51</v>
      </c>
      <c r="C6" s="4">
        <v>45.143333333333338</v>
      </c>
      <c r="D6" s="4">
        <v>4.5879925660835639</v>
      </c>
      <c r="E6" s="4">
        <v>2.1158894434920406</v>
      </c>
      <c r="F6" s="4">
        <v>11.506666666666668</v>
      </c>
      <c r="G6" s="4">
        <v>21.264662287174716</v>
      </c>
      <c r="H6" s="4">
        <v>3.2813856837684412</v>
      </c>
      <c r="I6" s="4">
        <v>415.94333333333333</v>
      </c>
      <c r="J6" s="4">
        <v>1.4669184518075011</v>
      </c>
      <c r="K6" s="4">
        <v>22.08322981516163</v>
      </c>
      <c r="L6" s="4">
        <v>126.61842471223328</v>
      </c>
      <c r="M6" s="4">
        <v>6.4927877647442838</v>
      </c>
      <c r="N6" s="4">
        <v>111.78363647229443</v>
      </c>
      <c r="O6" s="4">
        <v>492.73176867495329</v>
      </c>
      <c r="P6" s="4">
        <v>12.613548839103554</v>
      </c>
      <c r="Q6" s="4">
        <v>29.193785710306134</v>
      </c>
      <c r="R6" s="4">
        <v>686.17873291026251</v>
      </c>
    </row>
    <row r="7" spans="1:18" x14ac:dyDescent="0.3">
      <c r="B7" s="6" t="s">
        <v>23</v>
      </c>
      <c r="C7" s="4">
        <v>38.340000000000003</v>
      </c>
      <c r="D7" s="4">
        <v>5.2889706850945588</v>
      </c>
      <c r="E7" s="4">
        <v>2.3169931050105763</v>
      </c>
      <c r="F7" s="4">
        <v>3.3566666666666665</v>
      </c>
      <c r="G7" s="4">
        <v>109.45790100726279</v>
      </c>
      <c r="H7" s="4">
        <v>3.2900671125128835</v>
      </c>
      <c r="I7" s="4">
        <v>276.05</v>
      </c>
      <c r="J7" s="4">
        <v>0.61865898239390837</v>
      </c>
      <c r="K7" s="4">
        <v>10.896375768723333</v>
      </c>
      <c r="L7" s="4">
        <v>119.76660157379527</v>
      </c>
      <c r="M7" s="4">
        <v>3.792086065158021</v>
      </c>
      <c r="N7" s="4">
        <v>200.175431720787</v>
      </c>
      <c r="O7" s="4">
        <v>542.14861492446539</v>
      </c>
      <c r="P7" s="4">
        <v>6.6215246292766494</v>
      </c>
      <c r="Q7" s="4">
        <v>9.9744094600212669</v>
      </c>
      <c r="R7" s="4">
        <v>315.4685159788321</v>
      </c>
    </row>
    <row r="8" spans="1:18" x14ac:dyDescent="0.3">
      <c r="B8" s="6" t="s">
        <v>20</v>
      </c>
      <c r="C8" s="4">
        <v>50.126666666666665</v>
      </c>
      <c r="D8" s="4">
        <v>16.761131816250234</v>
      </c>
      <c r="E8" s="4">
        <v>2.6573015654313616</v>
      </c>
      <c r="F8" s="4">
        <v>10.130000000000001</v>
      </c>
      <c r="G8" s="4">
        <v>21.020297149914008</v>
      </c>
      <c r="H8" s="4">
        <v>4.0778897338846001</v>
      </c>
      <c r="I8" s="4">
        <v>281.48333333333335</v>
      </c>
      <c r="J8" s="4">
        <v>1.5872359791531627</v>
      </c>
      <c r="K8" s="4">
        <v>45.923576049275759</v>
      </c>
      <c r="L8" s="4">
        <v>223.87466251491253</v>
      </c>
      <c r="M8" s="4">
        <v>31.448582386786047</v>
      </c>
      <c r="N8" s="4">
        <v>263.71263105628964</v>
      </c>
      <c r="O8" s="4">
        <v>965.44302394086833</v>
      </c>
      <c r="P8" s="4">
        <v>22.052491783640413</v>
      </c>
      <c r="Q8" s="4">
        <v>53.908100016854164</v>
      </c>
      <c r="R8" s="4">
        <v>1312.5267772794134</v>
      </c>
    </row>
    <row r="9" spans="1:18" x14ac:dyDescent="0.3">
      <c r="B9" s="6" t="s">
        <v>22</v>
      </c>
      <c r="C9" s="4">
        <v>48.546666666666667</v>
      </c>
      <c r="D9" s="4">
        <v>9.2757162561102184</v>
      </c>
      <c r="E9" s="4">
        <v>3.0068871181967443</v>
      </c>
      <c r="F9" s="4">
        <v>26.563333333333333</v>
      </c>
      <c r="G9" s="4">
        <v>29.460097829082976</v>
      </c>
      <c r="H9" s="4">
        <v>2.2312907427395943</v>
      </c>
      <c r="I9" s="4">
        <v>429.60666666666663</v>
      </c>
      <c r="J9" s="4">
        <v>0.76863830395602417</v>
      </c>
      <c r="K9" s="4">
        <v>53.777642339943725</v>
      </c>
      <c r="L9" s="4">
        <v>181.3180046253388</v>
      </c>
      <c r="M9" s="4">
        <v>6.6638967821844242</v>
      </c>
      <c r="N9" s="4">
        <v>95.639517237065647</v>
      </c>
      <c r="O9" s="4">
        <v>1281.1548581388547</v>
      </c>
      <c r="P9" s="4">
        <v>50.150161778904383</v>
      </c>
      <c r="Q9" s="4">
        <v>22.479586699822484</v>
      </c>
      <c r="R9" s="4">
        <v>917.58937235808412</v>
      </c>
    </row>
    <row r="10" spans="1:18" x14ac:dyDescent="0.3">
      <c r="B10" s="44" t="s">
        <v>69</v>
      </c>
      <c r="C10" s="45">
        <f t="shared" ref="C10:I10" si="0">AVERAGE(C6:C9)</f>
        <v>45.539166666666674</v>
      </c>
      <c r="D10" s="45">
        <f t="shared" si="0"/>
        <v>8.9784528308846436</v>
      </c>
      <c r="E10" s="45">
        <f t="shared" si="0"/>
        <v>2.5242678080326808</v>
      </c>
      <c r="F10" s="45">
        <f t="shared" si="0"/>
        <v>12.889166666666666</v>
      </c>
      <c r="G10" s="45">
        <f t="shared" si="0"/>
        <v>45.300739568358622</v>
      </c>
      <c r="H10" s="45">
        <f t="shared" si="0"/>
        <v>3.2201583182263795</v>
      </c>
      <c r="I10" s="45">
        <f t="shared" si="0"/>
        <v>350.77083333333331</v>
      </c>
      <c r="J10" s="45">
        <f t="shared" ref="J10:R10" si="1">AVERAGE(J6:J9)</f>
        <v>1.1103629293276491</v>
      </c>
      <c r="K10" s="45">
        <f t="shared" si="1"/>
        <v>33.170205993276113</v>
      </c>
      <c r="L10" s="45">
        <f t="shared" si="1"/>
        <v>162.89442335656997</v>
      </c>
      <c r="M10" s="45">
        <f t="shared" si="1"/>
        <v>12.099338249718194</v>
      </c>
      <c r="N10" s="45">
        <f t="shared" si="1"/>
        <v>167.82780412160918</v>
      </c>
      <c r="O10" s="45">
        <f t="shared" si="1"/>
        <v>820.36956641978543</v>
      </c>
      <c r="P10" s="45">
        <f t="shared" si="1"/>
        <v>22.859431757731251</v>
      </c>
      <c r="Q10" s="45">
        <f t="shared" si="1"/>
        <v>28.888970471751009</v>
      </c>
      <c r="R10" s="45">
        <f t="shared" si="1"/>
        <v>807.94084963164801</v>
      </c>
    </row>
    <row r="11" spans="1:18" x14ac:dyDescent="0.3">
      <c r="B11" s="44" t="s">
        <v>68</v>
      </c>
      <c r="C11" s="45">
        <f t="shared" ref="C11:I11" si="2">STDEV(C6:C9)</f>
        <v>5.2305161384010717</v>
      </c>
      <c r="D11" s="45">
        <f t="shared" si="2"/>
        <v>5.5841107192380832</v>
      </c>
      <c r="E11" s="45">
        <f t="shared" si="2"/>
        <v>0.39172910294770408</v>
      </c>
      <c r="F11" s="45">
        <f t="shared" si="2"/>
        <v>9.7873336039022441</v>
      </c>
      <c r="G11" s="45">
        <f t="shared" si="2"/>
        <v>42.950902938557427</v>
      </c>
      <c r="H11" s="45">
        <f t="shared" si="2"/>
        <v>0.75767149721278426</v>
      </c>
      <c r="I11" s="45">
        <f t="shared" si="2"/>
        <v>83.359670432587819</v>
      </c>
      <c r="J11" s="45">
        <f t="shared" ref="J11:R11" si="3">STDEV(J6:J9)</f>
        <v>0.48754084863949704</v>
      </c>
      <c r="K11" s="45">
        <f t="shared" si="3"/>
        <v>20.052925258039078</v>
      </c>
      <c r="L11" s="45">
        <f t="shared" si="3"/>
        <v>49.105244132530558</v>
      </c>
      <c r="M11" s="45">
        <f t="shared" si="3"/>
        <v>12.966381142802607</v>
      </c>
      <c r="N11" s="45">
        <f t="shared" si="3"/>
        <v>78.723919572174012</v>
      </c>
      <c r="O11" s="45">
        <f t="shared" si="3"/>
        <v>373.32863873705793</v>
      </c>
      <c r="P11" s="45">
        <f t="shared" si="3"/>
        <v>19.270727731500692</v>
      </c>
      <c r="Q11" s="45">
        <f t="shared" si="3"/>
        <v>18.483240824474994</v>
      </c>
      <c r="R11" s="45">
        <f t="shared" si="3"/>
        <v>417.92533998238196</v>
      </c>
    </row>
    <row r="13" spans="1:18" x14ac:dyDescent="0.3">
      <c r="A13" s="96">
        <v>44501</v>
      </c>
      <c r="B13" s="7" t="s">
        <v>26</v>
      </c>
      <c r="C13" s="4">
        <v>52.103333333333332</v>
      </c>
      <c r="D13" s="4">
        <v>4.6450926106574055</v>
      </c>
      <c r="E13" s="4">
        <v>1.7438750522802309</v>
      </c>
      <c r="F13" s="4">
        <v>7.88</v>
      </c>
      <c r="G13" s="4">
        <v>16.031140870081245</v>
      </c>
      <c r="H13" s="4">
        <v>2.1998925963770324</v>
      </c>
      <c r="I13" s="4">
        <v>472.67333333333335</v>
      </c>
      <c r="J13" s="4">
        <v>0.87658550900318644</v>
      </c>
      <c r="K13" s="4">
        <v>15.720587752224512</v>
      </c>
      <c r="L13" s="4">
        <v>123.56026970010346</v>
      </c>
      <c r="M13" s="4">
        <v>3.1074128193229091</v>
      </c>
      <c r="N13" s="4">
        <v>65.371671426404163</v>
      </c>
      <c r="O13" s="4">
        <v>507.34888807713753</v>
      </c>
      <c r="P13" s="4">
        <v>8.5834830332563108</v>
      </c>
      <c r="Q13" s="4">
        <v>11.539684416923889</v>
      </c>
      <c r="R13" s="4">
        <v>551.79938633449274</v>
      </c>
    </row>
    <row r="14" spans="1:18" x14ac:dyDescent="0.3">
      <c r="B14" s="7" t="s">
        <v>28</v>
      </c>
      <c r="C14" s="4">
        <v>37.218333333333334</v>
      </c>
      <c r="D14" s="4">
        <v>7.203602708741232</v>
      </c>
      <c r="E14" s="4">
        <v>3.3699313309901</v>
      </c>
      <c r="F14" s="4">
        <v>3.7933333333333334</v>
      </c>
      <c r="G14" s="4">
        <v>98.952683506429878</v>
      </c>
      <c r="H14" s="4">
        <v>3.9476691120591991</v>
      </c>
      <c r="I14" s="4">
        <v>268.93166666666667</v>
      </c>
      <c r="J14" s="4">
        <v>0.49973512919590979</v>
      </c>
      <c r="K14" s="4">
        <v>10.813702915889692</v>
      </c>
      <c r="L14" s="4">
        <v>94.432174450956069</v>
      </c>
      <c r="M14" s="4">
        <v>3.0642803958868599</v>
      </c>
      <c r="N14" s="4">
        <v>184.24549699480784</v>
      </c>
      <c r="O14" s="4">
        <v>544.75435171314768</v>
      </c>
      <c r="P14" s="4">
        <v>5.288025747359054</v>
      </c>
      <c r="Q14" s="4">
        <v>8.281111074097895</v>
      </c>
      <c r="R14" s="4">
        <v>229.67007150853289</v>
      </c>
    </row>
    <row r="15" spans="1:18" x14ac:dyDescent="0.3">
      <c r="B15" s="7" t="s">
        <v>25</v>
      </c>
      <c r="C15" s="4">
        <v>47.616666666666667</v>
      </c>
      <c r="D15" s="4">
        <v>13.272611919608092</v>
      </c>
      <c r="E15" s="4">
        <v>2.58005216240289</v>
      </c>
      <c r="F15" s="4">
        <v>12.023333333333335</v>
      </c>
      <c r="G15" s="4">
        <v>30.344169046739989</v>
      </c>
      <c r="H15" s="4">
        <v>7.0237281318884586</v>
      </c>
      <c r="I15" s="4">
        <v>305.32</v>
      </c>
      <c r="J15" s="4">
        <v>1.4988455748272045</v>
      </c>
      <c r="K15" s="4">
        <v>56.469972197937778</v>
      </c>
      <c r="L15" s="4">
        <v>221.09735981188931</v>
      </c>
      <c r="M15" s="4">
        <v>15.764296909218732</v>
      </c>
      <c r="N15" s="4">
        <v>266.76350610335567</v>
      </c>
      <c r="O15" s="4">
        <v>1021.8354398139161</v>
      </c>
      <c r="P15" s="4">
        <v>27.961731602036103</v>
      </c>
      <c r="Q15" s="4">
        <v>40.345114427147706</v>
      </c>
      <c r="R15" s="4">
        <v>1101.9998564726657</v>
      </c>
    </row>
    <row r="16" spans="1:18" x14ac:dyDescent="0.3">
      <c r="B16" s="7" t="s">
        <v>27</v>
      </c>
      <c r="C16" s="4">
        <v>53.77</v>
      </c>
      <c r="D16" s="4">
        <v>10.013232671538608</v>
      </c>
      <c r="E16" s="4">
        <v>3.044726715506465</v>
      </c>
      <c r="F16" s="4">
        <v>14.016666666666667</v>
      </c>
      <c r="G16" s="4">
        <v>29.140764112318976</v>
      </c>
      <c r="H16" s="4">
        <v>2.8385635108218388</v>
      </c>
      <c r="I16" s="4">
        <v>421.14333333333337</v>
      </c>
      <c r="J16" s="4">
        <v>0.65993255671009254</v>
      </c>
      <c r="K16" s="4">
        <v>34.094524811166217</v>
      </c>
      <c r="L16" s="4">
        <v>175.73309753151221</v>
      </c>
      <c r="M16" s="4">
        <v>5.9777744887863324</v>
      </c>
      <c r="N16" s="4">
        <v>77.831444249618727</v>
      </c>
      <c r="O16" s="4">
        <v>1472.1746844635497</v>
      </c>
      <c r="P16" s="4">
        <v>32.329919900583675</v>
      </c>
      <c r="Q16" s="4">
        <v>14.114280893701451</v>
      </c>
      <c r="R16" s="4">
        <v>742.27769459663273</v>
      </c>
    </row>
    <row r="17" spans="1:18" x14ac:dyDescent="0.3">
      <c r="B17" s="44" t="s">
        <v>70</v>
      </c>
      <c r="C17" s="45">
        <f t="shared" ref="C17:I17" si="4">AVERAGE(C13:C16)</f>
        <v>47.677083333333336</v>
      </c>
      <c r="D17" s="45">
        <f t="shared" si="4"/>
        <v>8.7836349776363338</v>
      </c>
      <c r="E17" s="45">
        <f t="shared" si="4"/>
        <v>2.6846463152949216</v>
      </c>
      <c r="F17" s="45">
        <f t="shared" si="4"/>
        <v>9.4283333333333346</v>
      </c>
      <c r="G17" s="45">
        <f t="shared" si="4"/>
        <v>43.617189383892523</v>
      </c>
      <c r="H17" s="45">
        <f t="shared" si="4"/>
        <v>4.0024633377866321</v>
      </c>
      <c r="I17" s="45">
        <f t="shared" si="4"/>
        <v>367.01708333333335</v>
      </c>
      <c r="J17" s="45">
        <f t="shared" ref="J17:R17" si="5">AVERAGE(J13:J16)</f>
        <v>0.88377469243409834</v>
      </c>
      <c r="K17" s="45">
        <f t="shared" si="5"/>
        <v>29.274696919304553</v>
      </c>
      <c r="L17" s="45">
        <f t="shared" si="5"/>
        <v>153.70572537361528</v>
      </c>
      <c r="M17" s="45">
        <f t="shared" si="5"/>
        <v>6.9784411533037076</v>
      </c>
      <c r="N17" s="45">
        <f t="shared" si="5"/>
        <v>148.55302969354659</v>
      </c>
      <c r="O17" s="45">
        <f t="shared" si="5"/>
        <v>886.5283410169377</v>
      </c>
      <c r="P17" s="45">
        <f t="shared" si="5"/>
        <v>18.540790070808786</v>
      </c>
      <c r="Q17" s="45">
        <f t="shared" si="5"/>
        <v>18.570047702967734</v>
      </c>
      <c r="R17" s="45">
        <f t="shared" si="5"/>
        <v>656.43675222808099</v>
      </c>
    </row>
    <row r="18" spans="1:18" x14ac:dyDescent="0.3">
      <c r="B18" s="44" t="s">
        <v>68</v>
      </c>
      <c r="C18" s="45">
        <f t="shared" ref="C18:I18" si="6">STDEV(C13:C16)</f>
        <v>7.4409771828157725</v>
      </c>
      <c r="D18" s="45">
        <f t="shared" si="6"/>
        <v>3.7097555790300292</v>
      </c>
      <c r="E18" s="45">
        <f t="shared" si="6"/>
        <v>0.70598960178515957</v>
      </c>
      <c r="F18" s="45">
        <f t="shared" si="6"/>
        <v>4.5437645511509839</v>
      </c>
      <c r="G18" s="45">
        <f t="shared" si="6"/>
        <v>37.455515570276305</v>
      </c>
      <c r="H18" s="45">
        <f t="shared" si="6"/>
        <v>2.139701493841828</v>
      </c>
      <c r="I18" s="45">
        <f t="shared" si="6"/>
        <v>95.777821297763552</v>
      </c>
      <c r="J18" s="45">
        <f t="shared" ref="J18:R18" si="7">STDEV(J13:J16)</f>
        <v>0.43816114333423817</v>
      </c>
      <c r="K18" s="45">
        <f t="shared" si="7"/>
        <v>20.715018008641692</v>
      </c>
      <c r="L18" s="45">
        <f t="shared" si="7"/>
        <v>56.121712533828884</v>
      </c>
      <c r="M18" s="45">
        <f t="shared" si="7"/>
        <v>6.0138204699565634</v>
      </c>
      <c r="N18" s="45">
        <f t="shared" si="7"/>
        <v>95.163630948584441</v>
      </c>
      <c r="O18" s="45">
        <f t="shared" si="7"/>
        <v>455.29337350533149</v>
      </c>
      <c r="P18" s="45">
        <f t="shared" si="7"/>
        <v>13.585261210225655</v>
      </c>
      <c r="Q18" s="45">
        <f t="shared" si="7"/>
        <v>14.711623676396181</v>
      </c>
      <c r="R18" s="45">
        <f t="shared" si="7"/>
        <v>364.67973408838287</v>
      </c>
    </row>
    <row r="20" spans="1:18" x14ac:dyDescent="0.3">
      <c r="A20" s="96">
        <v>44593</v>
      </c>
      <c r="B20" s="31" t="s">
        <v>49</v>
      </c>
      <c r="C20" s="10">
        <v>6.3949999999999996</v>
      </c>
      <c r="D20" s="10">
        <v>12.809496428967719</v>
      </c>
      <c r="E20" s="10">
        <v>4.8083435053748156</v>
      </c>
      <c r="F20" s="10">
        <v>0.65766666666666662</v>
      </c>
      <c r="G20" s="10">
        <v>21.077266180812359</v>
      </c>
      <c r="H20" s="10">
        <v>3.3556623442640046</v>
      </c>
      <c r="I20" s="10">
        <v>41.425999999999995</v>
      </c>
      <c r="J20" s="10">
        <v>1.1911793517313336</v>
      </c>
      <c r="K20" s="10">
        <v>44.37717840442744</v>
      </c>
      <c r="L20" s="10">
        <v>142.50709898335424</v>
      </c>
      <c r="M20" s="10">
        <v>5.9379592985809593</v>
      </c>
      <c r="N20" s="10">
        <v>98.853192851103032</v>
      </c>
      <c r="O20" s="10">
        <v>787.09632191286153</v>
      </c>
      <c r="P20" s="10">
        <v>23.704175766257361</v>
      </c>
      <c r="Q20" s="10">
        <v>21.151233749075978</v>
      </c>
      <c r="R20" s="10">
        <v>829.6142628996131</v>
      </c>
    </row>
    <row r="21" spans="1:18" x14ac:dyDescent="0.3">
      <c r="B21" s="31" t="s">
        <v>47</v>
      </c>
      <c r="C21" s="10">
        <v>4.7133333333333338</v>
      </c>
      <c r="D21" s="10">
        <v>13.928761215495777</v>
      </c>
      <c r="E21" s="10">
        <v>4.6139287887139382</v>
      </c>
      <c r="F21" s="10">
        <v>0.158</v>
      </c>
      <c r="G21" s="10">
        <v>135.61985624775119</v>
      </c>
      <c r="H21" s="10">
        <v>4.1672509916260809</v>
      </c>
      <c r="I21" s="10">
        <v>29.473333333333333</v>
      </c>
      <c r="J21" s="10">
        <v>0.64331584347691606</v>
      </c>
      <c r="K21" s="10">
        <v>30.763940766388867</v>
      </c>
      <c r="L21" s="10">
        <v>118.61728412222082</v>
      </c>
      <c r="M21" s="10">
        <v>4.0500322790387129</v>
      </c>
      <c r="N21" s="10">
        <v>253.51872607145114</v>
      </c>
      <c r="O21" s="10">
        <v>791.24475935196176</v>
      </c>
      <c r="P21" s="10">
        <v>16.670307464334901</v>
      </c>
      <c r="Q21" s="10">
        <v>15.065497963260507</v>
      </c>
      <c r="R21" s="10">
        <v>310.50719264811846</v>
      </c>
    </row>
    <row r="22" spans="1:18" x14ac:dyDescent="0.3">
      <c r="B22" s="31" t="s">
        <v>50</v>
      </c>
      <c r="C22" s="10">
        <v>4.8503333333333343</v>
      </c>
      <c r="D22" s="10">
        <v>35.415206646297015</v>
      </c>
      <c r="E22" s="10">
        <v>3.1151940321632474</v>
      </c>
      <c r="F22" s="10">
        <v>1.2873333333333334</v>
      </c>
      <c r="G22" s="10">
        <v>35.202999155243987</v>
      </c>
      <c r="H22" s="10">
        <v>8.5728619441704197</v>
      </c>
      <c r="I22" s="10">
        <v>28.826000000000004</v>
      </c>
      <c r="J22" s="10">
        <v>1.745516393470572</v>
      </c>
      <c r="K22" s="10">
        <v>81.078096900524073</v>
      </c>
      <c r="L22" s="10">
        <v>252.15405204478893</v>
      </c>
      <c r="M22" s="10">
        <v>26.91780927169884</v>
      </c>
      <c r="N22" s="10">
        <v>343.87869308531822</v>
      </c>
      <c r="O22" s="10">
        <v>1179.3370641940667</v>
      </c>
      <c r="P22" s="10">
        <v>46.076271453151037</v>
      </c>
      <c r="Q22" s="10">
        <v>37.831369827948443</v>
      </c>
      <c r="R22" s="10">
        <v>1197.5401631909651</v>
      </c>
    </row>
    <row r="23" spans="1:18" x14ac:dyDescent="0.3">
      <c r="B23" s="31" t="s">
        <v>48</v>
      </c>
      <c r="C23" s="10">
        <v>6.919999999999999</v>
      </c>
      <c r="D23" s="10">
        <v>27.488509795510964</v>
      </c>
      <c r="E23" s="10">
        <v>5.1392677917970389</v>
      </c>
      <c r="F23" s="10">
        <v>1.5936666666666666</v>
      </c>
      <c r="G23" s="10">
        <v>30.645545808054152</v>
      </c>
      <c r="H23" s="10">
        <v>5.2959185482349715</v>
      </c>
      <c r="I23" s="10">
        <v>38.936666666666667</v>
      </c>
      <c r="J23" s="10">
        <v>0.78191005552178783</v>
      </c>
      <c r="K23" s="10">
        <v>61.021416302514126</v>
      </c>
      <c r="L23" s="10">
        <v>185.9256054837025</v>
      </c>
      <c r="M23" s="10">
        <v>7.1667463035975141</v>
      </c>
      <c r="N23" s="10">
        <v>90.153416408981698</v>
      </c>
      <c r="O23" s="10">
        <v>2224.1597734717034</v>
      </c>
      <c r="P23" s="10">
        <v>43.402919963723399</v>
      </c>
      <c r="Q23" s="10">
        <v>14.249750662336652</v>
      </c>
      <c r="R23" s="10">
        <v>892.68269556035511</v>
      </c>
    </row>
    <row r="24" spans="1:18" x14ac:dyDescent="0.3">
      <c r="B24" s="1" t="s">
        <v>69</v>
      </c>
      <c r="C24" s="32">
        <f t="shared" ref="C24:I24" si="8">AVERAGE(C20:C23)</f>
        <v>5.7196666666666669</v>
      </c>
      <c r="D24" s="32">
        <f t="shared" si="8"/>
        <v>22.410493521567869</v>
      </c>
      <c r="E24" s="32">
        <f t="shared" si="8"/>
        <v>4.4191835295122601</v>
      </c>
      <c r="F24" s="32">
        <f t="shared" si="8"/>
        <v>0.92416666666666669</v>
      </c>
      <c r="G24" s="32">
        <f t="shared" si="8"/>
        <v>55.636416847965421</v>
      </c>
      <c r="H24" s="32">
        <f t="shared" si="8"/>
        <v>5.3479234570738692</v>
      </c>
      <c r="I24" s="32">
        <f t="shared" si="8"/>
        <v>34.665500000000002</v>
      </c>
      <c r="J24" s="32">
        <f t="shared" ref="J24:R24" si="9">AVERAGE(J20:J23)</f>
        <v>1.0904804110501523</v>
      </c>
      <c r="K24" s="32">
        <f t="shared" si="9"/>
        <v>54.310158093463627</v>
      </c>
      <c r="L24" s="32">
        <f t="shared" si="9"/>
        <v>174.80101015851662</v>
      </c>
      <c r="M24" s="32">
        <f t="shared" si="9"/>
        <v>11.018136788229006</v>
      </c>
      <c r="N24" s="32">
        <f t="shared" si="9"/>
        <v>196.60100710421352</v>
      </c>
      <c r="O24" s="32">
        <f t="shared" si="9"/>
        <v>1245.4594797326483</v>
      </c>
      <c r="P24" s="32">
        <f t="shared" si="9"/>
        <v>32.463418661866676</v>
      </c>
      <c r="Q24" s="32">
        <f t="shared" si="9"/>
        <v>22.074463050655396</v>
      </c>
      <c r="R24" s="32">
        <f t="shared" si="9"/>
        <v>807.58607857476295</v>
      </c>
    </row>
    <row r="25" spans="1:18" x14ac:dyDescent="0.3">
      <c r="B25" s="1" t="s">
        <v>68</v>
      </c>
      <c r="C25" s="32">
        <f t="shared" ref="C25:I25" si="10">STDEV(C20:C23)</f>
        <v>1.1053389290838094</v>
      </c>
      <c r="D25" s="32">
        <f t="shared" si="10"/>
        <v>10.939648696658667</v>
      </c>
      <c r="E25" s="32">
        <f t="shared" si="10"/>
        <v>0.89596896463765463</v>
      </c>
      <c r="F25" s="32">
        <f t="shared" si="10"/>
        <v>0.64243129046067093</v>
      </c>
      <c r="G25" s="32">
        <f t="shared" si="10"/>
        <v>53.646229028680366</v>
      </c>
      <c r="H25" s="32">
        <f t="shared" si="10"/>
        <v>2.2924531669793442</v>
      </c>
      <c r="I25" s="32">
        <f t="shared" si="10"/>
        <v>6.4551163141828525</v>
      </c>
      <c r="J25" s="32">
        <f t="shared" ref="J25:R25" si="11">STDEV(J20:J23)</f>
        <v>0.49476736274861455</v>
      </c>
      <c r="K25" s="32">
        <f t="shared" si="11"/>
        <v>21.715217173246057</v>
      </c>
      <c r="L25" s="32">
        <f t="shared" si="11"/>
        <v>58.613870601076933</v>
      </c>
      <c r="M25" s="32">
        <f t="shared" si="11"/>
        <v>10.677007657017683</v>
      </c>
      <c r="N25" s="32">
        <f t="shared" si="11"/>
        <v>123.58002572754563</v>
      </c>
      <c r="O25" s="32">
        <f t="shared" si="11"/>
        <v>677.8972969062994</v>
      </c>
      <c r="P25" s="32">
        <f t="shared" si="11"/>
        <v>14.504357359685491</v>
      </c>
      <c r="Q25" s="32">
        <f t="shared" si="11"/>
        <v>10.946600371619606</v>
      </c>
      <c r="R25" s="32">
        <f t="shared" si="11"/>
        <v>368.27448190626171</v>
      </c>
    </row>
    <row r="26" spans="1:18" x14ac:dyDescent="0.3"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x14ac:dyDescent="0.3">
      <c r="A27" s="96">
        <v>44652</v>
      </c>
      <c r="B27" s="34" t="s">
        <v>55</v>
      </c>
      <c r="C27" s="10">
        <v>21.219599946929812</v>
      </c>
      <c r="D27" s="10">
        <v>5.8049999999999997</v>
      </c>
      <c r="E27" s="10">
        <v>0.89337681875707986</v>
      </c>
      <c r="F27" s="10">
        <v>53.196491026944969</v>
      </c>
      <c r="G27" s="10">
        <v>162.40764784574822</v>
      </c>
      <c r="H27" s="10">
        <v>27.602511907020087</v>
      </c>
      <c r="I27" s="10">
        <v>1.1172707632612293</v>
      </c>
      <c r="J27" s="10">
        <v>7.2948716284058204</v>
      </c>
      <c r="K27" s="10">
        <v>4.2778474771967954</v>
      </c>
      <c r="L27" s="10">
        <v>3.4917265392220793</v>
      </c>
      <c r="M27" s="10">
        <v>110.96136391646661</v>
      </c>
      <c r="N27" s="10">
        <v>12.849237876101906</v>
      </c>
      <c r="O27" s="10">
        <v>22.977334853320517</v>
      </c>
      <c r="P27" s="10">
        <v>842.06525108883818</v>
      </c>
      <c r="Q27" s="10">
        <v>5.6150000000000002</v>
      </c>
      <c r="R27" s="10">
        <v>19.11</v>
      </c>
    </row>
    <row r="28" spans="1:18" x14ac:dyDescent="0.3">
      <c r="B28" s="34" t="s">
        <v>53</v>
      </c>
      <c r="C28" s="10">
        <v>146.6930121640782</v>
      </c>
      <c r="D28" s="10">
        <v>12.125</v>
      </c>
      <c r="E28" s="10">
        <v>1.0649335395673898</v>
      </c>
      <c r="F28" s="10">
        <v>19.27536054233223</v>
      </c>
      <c r="G28" s="10">
        <v>97.027648553632787</v>
      </c>
      <c r="H28" s="10">
        <v>11.642111002880689</v>
      </c>
      <c r="I28" s="10">
        <v>0.56469357940322262</v>
      </c>
      <c r="J28" s="10">
        <v>3.5772765533437427</v>
      </c>
      <c r="K28" s="10">
        <v>7.1686634766357624</v>
      </c>
      <c r="L28" s="10">
        <v>5.4509137130922616</v>
      </c>
      <c r="M28" s="10">
        <v>223.9283776087866</v>
      </c>
      <c r="N28" s="10">
        <v>17.301708404203566</v>
      </c>
      <c r="O28" s="10">
        <v>9.1448012968947587</v>
      </c>
      <c r="P28" s="10">
        <v>281.24948421287121</v>
      </c>
      <c r="Q28" s="10">
        <v>11.675000000000001</v>
      </c>
      <c r="R28" s="10">
        <v>10.76</v>
      </c>
    </row>
    <row r="29" spans="1:18" x14ac:dyDescent="0.3">
      <c r="B29" s="34" t="s">
        <v>54</v>
      </c>
      <c r="C29" s="10">
        <v>36.647449541241031</v>
      </c>
      <c r="D29" s="10">
        <v>6.6449999999999996</v>
      </c>
      <c r="E29" s="10">
        <v>1.1379585940643662</v>
      </c>
      <c r="F29" s="10">
        <v>90.045781483167744</v>
      </c>
      <c r="G29" s="10">
        <v>244.06669098924471</v>
      </c>
      <c r="H29" s="10">
        <v>44.700062494413217</v>
      </c>
      <c r="I29" s="10">
        <v>1.6384806571421302</v>
      </c>
      <c r="J29" s="10">
        <v>37.868748854683446</v>
      </c>
      <c r="K29" s="10">
        <v>3.3247644554321178</v>
      </c>
      <c r="L29" s="10">
        <v>7.4370144974601331</v>
      </c>
      <c r="M29" s="10">
        <v>536.00876357534071</v>
      </c>
      <c r="N29" s="10">
        <v>35.444468548149175</v>
      </c>
      <c r="O29" s="10">
        <v>38.69627296334739</v>
      </c>
      <c r="P29" s="10">
        <v>1052.8474414142552</v>
      </c>
      <c r="Q29" s="10">
        <v>6.6999999999999993</v>
      </c>
      <c r="R29" s="10">
        <v>9.57</v>
      </c>
    </row>
    <row r="30" spans="1:18" x14ac:dyDescent="0.3">
      <c r="B30" s="34" t="s">
        <v>52</v>
      </c>
      <c r="C30" s="10">
        <v>34.818832856141633</v>
      </c>
      <c r="D30" s="10">
        <v>6.7200000000000006</v>
      </c>
      <c r="E30" s="10">
        <v>2.1587229950969955</v>
      </c>
      <c r="F30" s="10">
        <v>51.449016520575356</v>
      </c>
      <c r="G30" s="10">
        <v>216.84373616945498</v>
      </c>
      <c r="H30" s="10">
        <v>39.100311760202189</v>
      </c>
      <c r="I30" s="10">
        <v>0.87382385121765294</v>
      </c>
      <c r="J30" s="10">
        <v>7.6478869937241445</v>
      </c>
      <c r="K30" s="10">
        <v>4.198316416973622</v>
      </c>
      <c r="L30" s="10">
        <v>3.0154256627005926</v>
      </c>
      <c r="M30" s="10">
        <v>83.216828061673112</v>
      </c>
      <c r="N30" s="10">
        <v>23.378933779667207</v>
      </c>
      <c r="O30" s="10">
        <v>15.639770454979185</v>
      </c>
      <c r="P30" s="10">
        <v>1002.1358283064123</v>
      </c>
      <c r="Q30" s="10">
        <v>6.47</v>
      </c>
      <c r="R30" s="10">
        <v>15.5</v>
      </c>
    </row>
    <row r="31" spans="1:18" x14ac:dyDescent="0.3">
      <c r="B31" s="1" t="s">
        <v>69</v>
      </c>
      <c r="C31" s="32">
        <f t="shared" ref="C31:I31" si="12">AVERAGE(C27:C30)</f>
        <v>59.844723627097665</v>
      </c>
      <c r="D31" s="32">
        <f t="shared" si="12"/>
        <v>7.8237500000000004</v>
      </c>
      <c r="E31" s="32">
        <f t="shared" si="12"/>
        <v>1.3137479868714577</v>
      </c>
      <c r="F31" s="32">
        <f t="shared" si="12"/>
        <v>53.491662393255069</v>
      </c>
      <c r="G31" s="32">
        <f t="shared" si="12"/>
        <v>180.08643088952016</v>
      </c>
      <c r="H31" s="32">
        <f t="shared" si="12"/>
        <v>30.761249291129044</v>
      </c>
      <c r="I31" s="32">
        <f t="shared" si="12"/>
        <v>1.0485672127560588</v>
      </c>
      <c r="J31" s="32">
        <f t="shared" ref="J31:R31" si="13">AVERAGE(J27:J30)</f>
        <v>14.097196007539289</v>
      </c>
      <c r="K31" s="32">
        <f t="shared" si="13"/>
        <v>4.7423979565595742</v>
      </c>
      <c r="L31" s="32">
        <f t="shared" si="13"/>
        <v>4.8487701031187669</v>
      </c>
      <c r="M31" s="32">
        <f t="shared" si="13"/>
        <v>238.52883329056675</v>
      </c>
      <c r="N31" s="32">
        <f t="shared" si="13"/>
        <v>22.243587152030464</v>
      </c>
      <c r="O31" s="32">
        <f t="shared" si="13"/>
        <v>21.614544892135463</v>
      </c>
      <c r="P31" s="32">
        <f t="shared" si="13"/>
        <v>794.57450125559421</v>
      </c>
      <c r="Q31" s="32">
        <f t="shared" si="13"/>
        <v>7.6149999999999993</v>
      </c>
      <c r="R31" s="32">
        <f t="shared" si="13"/>
        <v>13.734999999999999</v>
      </c>
    </row>
    <row r="32" spans="1:18" x14ac:dyDescent="0.3">
      <c r="B32" s="1" t="s">
        <v>68</v>
      </c>
      <c r="C32" s="32">
        <f t="shared" ref="C32:I32" si="14">STDEV(C27:C30)</f>
        <v>58.30647229655002</v>
      </c>
      <c r="D32" s="32">
        <f t="shared" si="14"/>
        <v>2.8973446895390254</v>
      </c>
      <c r="E32" s="32">
        <f t="shared" si="14"/>
        <v>0.57256883816658843</v>
      </c>
      <c r="F32" s="32">
        <f t="shared" si="14"/>
        <v>28.932210787112076</v>
      </c>
      <c r="G32" s="32">
        <f t="shared" si="14"/>
        <v>64.950940118676854</v>
      </c>
      <c r="H32" s="32">
        <f t="shared" si="14"/>
        <v>14.598510735985885</v>
      </c>
      <c r="I32" s="32">
        <f t="shared" si="14"/>
        <v>0.45364706736084043</v>
      </c>
      <c r="J32" s="32">
        <f t="shared" ref="J32:R32" si="15">STDEV(J27:J30)</f>
        <v>15.954316383578458</v>
      </c>
      <c r="K32" s="32">
        <f t="shared" si="15"/>
        <v>1.674144655938655</v>
      </c>
      <c r="L32" s="32">
        <f t="shared" si="15"/>
        <v>2.0219054580104276</v>
      </c>
      <c r="M32" s="32">
        <f t="shared" si="15"/>
        <v>207.44698956527142</v>
      </c>
      <c r="N32" s="32">
        <f t="shared" si="15"/>
        <v>9.8018407365766702</v>
      </c>
      <c r="O32" s="32">
        <f t="shared" si="15"/>
        <v>12.71265859007049</v>
      </c>
      <c r="P32" s="32">
        <f t="shared" si="15"/>
        <v>353.81000576907178</v>
      </c>
      <c r="Q32" s="32">
        <f t="shared" si="15"/>
        <v>2.7466252019523898</v>
      </c>
      <c r="R32" s="32">
        <f t="shared" si="15"/>
        <v>4.4046831138384226</v>
      </c>
    </row>
    <row r="33" spans="1:18" x14ac:dyDescent="0.3"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1:18" x14ac:dyDescent="0.3">
      <c r="A34" s="96">
        <v>44743</v>
      </c>
      <c r="B34" s="36" t="s">
        <v>59</v>
      </c>
      <c r="C34" s="10">
        <v>17.676761468618427</v>
      </c>
      <c r="D34" s="10">
        <v>5.41</v>
      </c>
      <c r="E34" s="10">
        <v>0.75167567734288532</v>
      </c>
      <c r="F34" s="10">
        <v>42.0598660379313</v>
      </c>
      <c r="G34" s="10">
        <v>138.10496099509942</v>
      </c>
      <c r="H34" s="10">
        <v>22.966321783566698</v>
      </c>
      <c r="I34" s="10">
        <v>0.9417007234972532</v>
      </c>
      <c r="J34" s="10">
        <v>4.5228973447886496</v>
      </c>
      <c r="K34" s="10">
        <v>1.9839725474818937</v>
      </c>
      <c r="L34" s="10">
        <v>2.2407316885592343</v>
      </c>
      <c r="M34" s="10">
        <v>93.115066840562733</v>
      </c>
      <c r="N34" s="10">
        <v>8.847595994556368</v>
      </c>
      <c r="O34" s="10">
        <v>16.94571418944507</v>
      </c>
      <c r="P34" s="10">
        <v>753.32570722477726</v>
      </c>
      <c r="Q34" s="10">
        <v>5.24</v>
      </c>
      <c r="R34" s="10">
        <v>6.84</v>
      </c>
    </row>
    <row r="35" spans="1:18" x14ac:dyDescent="0.3">
      <c r="B35" s="36" t="s">
        <v>57</v>
      </c>
      <c r="C35" s="10">
        <v>180.27312984271182</v>
      </c>
      <c r="D35" s="10">
        <v>11.285</v>
      </c>
      <c r="E35" s="10">
        <v>0.87227361693124394</v>
      </c>
      <c r="F35" s="10">
        <v>22.46262065673951</v>
      </c>
      <c r="G35" s="10">
        <v>126.9732894641061</v>
      </c>
      <c r="H35" s="10">
        <v>13.048425133601926</v>
      </c>
      <c r="I35" s="10">
        <v>0.76264848431483523</v>
      </c>
      <c r="J35" s="10">
        <v>5.2737828482045757</v>
      </c>
      <c r="K35" s="10">
        <v>3.2546377518659479</v>
      </c>
      <c r="L35" s="10">
        <v>4.0343551309302246</v>
      </c>
      <c r="M35" s="10">
        <v>188.09141286332761</v>
      </c>
      <c r="N35" s="10">
        <v>10.915508132191563</v>
      </c>
      <c r="O35" s="10">
        <v>12.844776862677325</v>
      </c>
      <c r="P35" s="10">
        <v>479.90712425739594</v>
      </c>
      <c r="Q35" s="10">
        <v>10.445</v>
      </c>
      <c r="R35" s="10">
        <v>6.66</v>
      </c>
    </row>
    <row r="36" spans="1:18" x14ac:dyDescent="0.3">
      <c r="B36" s="36" t="s">
        <v>58</v>
      </c>
      <c r="C36" s="10">
        <v>27.805464870480311</v>
      </c>
      <c r="D36" s="10">
        <v>6.5350000000000001</v>
      </c>
      <c r="E36" s="10">
        <v>0.95062247265382704</v>
      </c>
      <c r="F36" s="10">
        <v>80.043434408603986</v>
      </c>
      <c r="G36" s="10">
        <v>258.00517731754644</v>
      </c>
      <c r="H36" s="10">
        <v>39.858559811797797</v>
      </c>
      <c r="I36" s="10">
        <v>1.5612196335299058</v>
      </c>
      <c r="J36" s="10">
        <v>40.186574175903608</v>
      </c>
      <c r="K36" s="10">
        <v>2.5263840712809547</v>
      </c>
      <c r="L36" s="10">
        <v>5.6012811987416606</v>
      </c>
      <c r="M36" s="10">
        <v>621.19581244707229</v>
      </c>
      <c r="N36" s="10">
        <v>34.135005238852919</v>
      </c>
      <c r="O36" s="10">
        <v>112.82719926102064</v>
      </c>
      <c r="P36" s="10">
        <v>2187.7305236701386</v>
      </c>
      <c r="Q36" s="10">
        <v>6.415</v>
      </c>
      <c r="R36" s="10">
        <v>8.125</v>
      </c>
    </row>
    <row r="37" spans="1:18" x14ac:dyDescent="0.3">
      <c r="B37" s="36" t="s">
        <v>56</v>
      </c>
      <c r="C37" s="10">
        <v>38.605430583361056</v>
      </c>
      <c r="D37" s="10">
        <v>6.41</v>
      </c>
      <c r="E37" s="10">
        <v>2.8228586096354618</v>
      </c>
      <c r="F37" s="10">
        <v>64.289427300429253</v>
      </c>
      <c r="G37" s="10">
        <v>206.92295767935602</v>
      </c>
      <c r="H37" s="10">
        <v>43.442640147075359</v>
      </c>
      <c r="I37" s="10">
        <v>0.8797465614062252</v>
      </c>
      <c r="J37" s="10">
        <v>8.1829299877303505</v>
      </c>
      <c r="K37" s="10">
        <v>5.5195137292133314</v>
      </c>
      <c r="L37" s="10">
        <v>8.4755155401355342</v>
      </c>
      <c r="M37" s="10">
        <v>134.60717861790954</v>
      </c>
      <c r="N37" s="10">
        <v>27.181258190620028</v>
      </c>
      <c r="O37" s="10">
        <v>14.490002451634844</v>
      </c>
      <c r="P37" s="10">
        <v>1077.1965558065972</v>
      </c>
      <c r="Q37" s="10">
        <v>6.24</v>
      </c>
      <c r="R37" s="10">
        <v>10.39</v>
      </c>
    </row>
    <row r="38" spans="1:18" x14ac:dyDescent="0.3">
      <c r="B38" s="1" t="s">
        <v>69</v>
      </c>
      <c r="C38" s="32">
        <f t="shared" ref="C38:I38" si="16">AVERAGE(C34:C37)</f>
        <v>66.090196691292903</v>
      </c>
      <c r="D38" s="32">
        <f t="shared" si="16"/>
        <v>7.41</v>
      </c>
      <c r="E38" s="32">
        <f t="shared" si="16"/>
        <v>1.3493575941408547</v>
      </c>
      <c r="F38" s="32">
        <f t="shared" si="16"/>
        <v>52.213837100926014</v>
      </c>
      <c r="G38" s="32">
        <f t="shared" si="16"/>
        <v>182.50159636402699</v>
      </c>
      <c r="H38" s="32">
        <f t="shared" si="16"/>
        <v>29.828986719010445</v>
      </c>
      <c r="I38" s="32">
        <f t="shared" si="16"/>
        <v>1.0363288506870549</v>
      </c>
      <c r="J38" s="32">
        <f t="shared" ref="J38:R38" si="17">AVERAGE(J34:J37)</f>
        <v>14.541546089156796</v>
      </c>
      <c r="K38" s="32">
        <f t="shared" si="17"/>
        <v>3.321127024960532</v>
      </c>
      <c r="L38" s="32">
        <f t="shared" si="17"/>
        <v>5.0879708895916629</v>
      </c>
      <c r="M38" s="32">
        <f t="shared" si="17"/>
        <v>259.25236769221806</v>
      </c>
      <c r="N38" s="32">
        <f t="shared" si="17"/>
        <v>20.269841889055222</v>
      </c>
      <c r="O38" s="32">
        <f t="shared" si="17"/>
        <v>39.27692319119447</v>
      </c>
      <c r="P38" s="32">
        <f t="shared" si="17"/>
        <v>1124.5399777397274</v>
      </c>
      <c r="Q38" s="32">
        <f t="shared" si="17"/>
        <v>7.0850000000000009</v>
      </c>
      <c r="R38" s="32">
        <f t="shared" si="17"/>
        <v>8.0037500000000001</v>
      </c>
    </row>
    <row r="39" spans="1:18" x14ac:dyDescent="0.3">
      <c r="B39" s="1" t="s">
        <v>68</v>
      </c>
      <c r="C39" s="32">
        <f t="shared" ref="C39:I39" si="18">STDEV(C34:C37)</f>
        <v>76.600121826971787</v>
      </c>
      <c r="D39" s="32">
        <f t="shared" si="18"/>
        <v>2.6319352828922926</v>
      </c>
      <c r="E39" s="32">
        <f t="shared" si="18"/>
        <v>0.98573622819838691</v>
      </c>
      <c r="F39" s="32">
        <f t="shared" si="18"/>
        <v>25.222637803045245</v>
      </c>
      <c r="G39" s="32">
        <f t="shared" si="18"/>
        <v>61.513271534284421</v>
      </c>
      <c r="H39" s="32">
        <f t="shared" si="18"/>
        <v>14.313249260980593</v>
      </c>
      <c r="I39" s="32">
        <f t="shared" si="18"/>
        <v>0.35771672806979854</v>
      </c>
      <c r="J39" s="32">
        <f t="shared" ref="J39:R39" si="19">STDEV(J34:J37)</f>
        <v>17.169393528880853</v>
      </c>
      <c r="K39" s="32">
        <f t="shared" si="19"/>
        <v>1.5553052630632394</v>
      </c>
      <c r="L39" s="32">
        <f t="shared" si="19"/>
        <v>2.6429669860281138</v>
      </c>
      <c r="M39" s="32">
        <f t="shared" si="19"/>
        <v>244.40742254605198</v>
      </c>
      <c r="N39" s="32">
        <f t="shared" si="19"/>
        <v>12.35558836207735</v>
      </c>
      <c r="O39" s="32">
        <f t="shared" si="19"/>
        <v>49.062462924686827</v>
      </c>
      <c r="P39" s="32">
        <f t="shared" si="19"/>
        <v>749.65927526640678</v>
      </c>
      <c r="Q39" s="32">
        <f t="shared" si="19"/>
        <v>2.299025155727239</v>
      </c>
      <c r="R39" s="32">
        <f t="shared" si="19"/>
        <v>1.7193863973328769</v>
      </c>
    </row>
    <row r="40" spans="1:18" x14ac:dyDescent="0.3"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</row>
    <row r="41" spans="1:18" x14ac:dyDescent="0.3">
      <c r="B41" s="37" t="s">
        <v>60</v>
      </c>
      <c r="C41">
        <v>44.97</v>
      </c>
      <c r="D41">
        <v>11.08</v>
      </c>
      <c r="E41">
        <v>2.46</v>
      </c>
      <c r="F41">
        <v>25.79</v>
      </c>
      <c r="G41">
        <v>101.43</v>
      </c>
      <c r="H41">
        <v>14.63</v>
      </c>
      <c r="I41">
        <v>150.91</v>
      </c>
      <c r="J41">
        <v>6.34</v>
      </c>
      <c r="K41">
        <v>24.96</v>
      </c>
      <c r="L41">
        <v>100.27</v>
      </c>
      <c r="M41">
        <v>105.58</v>
      </c>
      <c r="N41">
        <v>111.1</v>
      </c>
      <c r="O41">
        <v>602.65</v>
      </c>
      <c r="P41">
        <v>398.6</v>
      </c>
      <c r="Q41">
        <v>16.850000000000001</v>
      </c>
      <c r="R41">
        <v>458.87</v>
      </c>
    </row>
    <row r="42" spans="1:18" x14ac:dyDescent="0.3">
      <c r="B42" s="36" t="s">
        <v>71</v>
      </c>
      <c r="C42">
        <v>44.08</v>
      </c>
      <c r="D42">
        <v>7.91</v>
      </c>
      <c r="E42">
        <v>1.34</v>
      </c>
      <c r="F42">
        <v>27.95</v>
      </c>
      <c r="G42">
        <v>82.01</v>
      </c>
      <c r="H42">
        <v>15.5</v>
      </c>
      <c r="I42">
        <v>181.92</v>
      </c>
      <c r="J42">
        <v>11.47</v>
      </c>
      <c r="K42">
        <v>24.3</v>
      </c>
      <c r="L42">
        <v>88.56</v>
      </c>
      <c r="M42">
        <v>175.32</v>
      </c>
      <c r="N42">
        <v>103.78</v>
      </c>
      <c r="O42">
        <v>616.05999999999995</v>
      </c>
      <c r="P42">
        <v>583.89</v>
      </c>
      <c r="Q42">
        <v>13.56</v>
      </c>
      <c r="R42">
        <v>462.58</v>
      </c>
    </row>
    <row r="43" spans="1:18" x14ac:dyDescent="0.3"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</row>
    <row r="44" spans="1:18" x14ac:dyDescent="0.3">
      <c r="B44" s="38" t="s">
        <v>171</v>
      </c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</row>
    <row r="45" spans="1:18" x14ac:dyDescent="0.3">
      <c r="B45" s="1" t="s">
        <v>0</v>
      </c>
      <c r="C45" s="2" t="s">
        <v>1</v>
      </c>
      <c r="D45" s="1" t="s">
        <v>14</v>
      </c>
      <c r="E45" s="1" t="s">
        <v>9</v>
      </c>
      <c r="F45" s="1" t="s">
        <v>3</v>
      </c>
      <c r="G45" s="1" t="s">
        <v>4</v>
      </c>
      <c r="H45" s="1" t="s">
        <v>10</v>
      </c>
      <c r="I45" s="1" t="s">
        <v>2</v>
      </c>
      <c r="J45" s="1" t="s">
        <v>5</v>
      </c>
      <c r="K45" s="1" t="s">
        <v>6</v>
      </c>
      <c r="L45" s="1" t="s">
        <v>7</v>
      </c>
      <c r="M45" s="1" t="s">
        <v>8</v>
      </c>
      <c r="N45" s="1" t="s">
        <v>11</v>
      </c>
      <c r="O45" s="1" t="s">
        <v>12</v>
      </c>
      <c r="P45" s="1" t="s">
        <v>13</v>
      </c>
      <c r="Q45" s="1" t="s">
        <v>15</v>
      </c>
      <c r="R45" s="1" t="s">
        <v>16</v>
      </c>
    </row>
    <row r="46" spans="1:18" x14ac:dyDescent="0.3">
      <c r="A46" t="s">
        <v>72</v>
      </c>
      <c r="B46" s="6" t="s">
        <v>51</v>
      </c>
      <c r="C46" s="4">
        <v>45.143333333333338</v>
      </c>
      <c r="D46" s="4">
        <v>4.5879925660835639</v>
      </c>
      <c r="E46" s="4">
        <v>2.1158894434920406</v>
      </c>
      <c r="F46" s="4">
        <v>11.506666666666668</v>
      </c>
      <c r="G46" s="4">
        <v>21.264662287174716</v>
      </c>
      <c r="H46" s="4">
        <v>3.2813856837684412</v>
      </c>
      <c r="I46" s="4">
        <v>415.94333333333333</v>
      </c>
      <c r="J46" s="4">
        <v>1.4669184518075011</v>
      </c>
      <c r="K46" s="4">
        <v>22.08322981516163</v>
      </c>
      <c r="L46" s="4">
        <v>126.61842471223328</v>
      </c>
      <c r="M46" s="4">
        <v>6.4927877647442838</v>
      </c>
      <c r="N46" s="4">
        <v>111.78363647229443</v>
      </c>
      <c r="O46" s="4">
        <v>492.73176867495329</v>
      </c>
      <c r="P46" s="4">
        <v>12.613548839103554</v>
      </c>
      <c r="Q46" s="4">
        <v>29.193785710306134</v>
      </c>
      <c r="R46" s="4">
        <v>686.17873291026251</v>
      </c>
    </row>
    <row r="47" spans="1:18" x14ac:dyDescent="0.3">
      <c r="B47" s="7" t="s">
        <v>26</v>
      </c>
      <c r="C47" s="4">
        <v>52.103333333333332</v>
      </c>
      <c r="D47" s="4">
        <v>4.6450926106574055</v>
      </c>
      <c r="E47" s="4">
        <v>1.7438750522802309</v>
      </c>
      <c r="F47" s="4">
        <v>7.88</v>
      </c>
      <c r="G47" s="4">
        <v>16.031140870081245</v>
      </c>
      <c r="H47" s="4">
        <v>2.1998925963770324</v>
      </c>
      <c r="I47" s="4">
        <v>472.67333333333335</v>
      </c>
      <c r="J47" s="4">
        <v>0.87658550900318644</v>
      </c>
      <c r="K47" s="4">
        <v>15.720587752224512</v>
      </c>
      <c r="L47" s="4">
        <v>123.56026970010346</v>
      </c>
      <c r="M47" s="4">
        <v>3.1074128193229091</v>
      </c>
      <c r="N47" s="4">
        <v>65.371671426404163</v>
      </c>
      <c r="O47" s="4">
        <v>507.34888807713753</v>
      </c>
      <c r="P47" s="4">
        <v>8.5834830332563108</v>
      </c>
      <c r="Q47" s="4">
        <v>11.539684416923889</v>
      </c>
      <c r="R47" s="4">
        <v>551.79938633449274</v>
      </c>
    </row>
    <row r="48" spans="1:18" x14ac:dyDescent="0.3">
      <c r="B48" s="31" t="s">
        <v>49</v>
      </c>
      <c r="C48" s="10">
        <v>6.3949999999999996</v>
      </c>
      <c r="D48" s="10">
        <v>12.809496428967719</v>
      </c>
      <c r="E48" s="10">
        <v>4.8083435053748156</v>
      </c>
      <c r="F48" s="10">
        <v>0.65766666666666662</v>
      </c>
      <c r="G48" s="10">
        <v>21.077266180812359</v>
      </c>
      <c r="H48" s="10">
        <v>3.3556623442640046</v>
      </c>
      <c r="I48" s="10">
        <v>41.425999999999995</v>
      </c>
      <c r="J48" s="10">
        <v>1.1911793517313336</v>
      </c>
      <c r="K48" s="10">
        <v>44.37717840442744</v>
      </c>
      <c r="L48" s="10">
        <v>142.50709898335424</v>
      </c>
      <c r="M48" s="10">
        <v>5.9379592985809593</v>
      </c>
      <c r="N48" s="10">
        <v>98.853192851103032</v>
      </c>
      <c r="O48" s="10">
        <v>787.09632191286153</v>
      </c>
      <c r="P48" s="10">
        <v>23.704175766257361</v>
      </c>
      <c r="Q48" s="10">
        <v>21.151233749075978</v>
      </c>
      <c r="R48" s="10">
        <v>829.6142628996131</v>
      </c>
    </row>
    <row r="49" spans="1:18" x14ac:dyDescent="0.3">
      <c r="B49" s="34" t="s">
        <v>55</v>
      </c>
      <c r="C49" s="10">
        <v>21.219599946929812</v>
      </c>
      <c r="D49" s="10">
        <v>5.8049999999999997</v>
      </c>
      <c r="E49" s="10">
        <v>0.89337681875707986</v>
      </c>
      <c r="F49" s="10">
        <v>53.196491026944969</v>
      </c>
      <c r="G49" s="10">
        <v>162.40764784574822</v>
      </c>
      <c r="H49" s="10">
        <v>27.602511907020087</v>
      </c>
      <c r="I49" s="10">
        <v>1.1172707632612293</v>
      </c>
      <c r="J49" s="10">
        <v>1.1200000000000001</v>
      </c>
      <c r="K49" s="10">
        <v>4.2778474771967954</v>
      </c>
      <c r="L49" s="10">
        <v>3.4917265392220793</v>
      </c>
      <c r="M49" s="10">
        <v>110.96136391646661</v>
      </c>
      <c r="N49" s="10">
        <v>12.849237876101906</v>
      </c>
      <c r="O49" s="10">
        <v>22.977334853320517</v>
      </c>
      <c r="P49" s="10">
        <v>842.06525108883818</v>
      </c>
      <c r="Q49" s="10">
        <v>5.6150000000000002</v>
      </c>
      <c r="R49" s="10">
        <v>19.11</v>
      </c>
    </row>
    <row r="50" spans="1:18" x14ac:dyDescent="0.3">
      <c r="B50" s="36" t="s">
        <v>63</v>
      </c>
      <c r="C50" s="10">
        <v>17.676761468618427</v>
      </c>
      <c r="D50" s="10">
        <v>5.41</v>
      </c>
      <c r="E50" s="10">
        <v>0.75167567734288532</v>
      </c>
      <c r="F50" s="10">
        <v>42.0598660379313</v>
      </c>
      <c r="G50" s="10">
        <v>138.10496099509942</v>
      </c>
      <c r="H50" s="10">
        <v>22.966321783566698</v>
      </c>
      <c r="I50" s="10">
        <v>0.9417007234972532</v>
      </c>
      <c r="J50" s="10">
        <v>0.94</v>
      </c>
      <c r="K50" s="10">
        <v>1.9839725474818937</v>
      </c>
      <c r="L50" s="10">
        <v>2.2407316885592343</v>
      </c>
      <c r="M50" s="10">
        <v>93.115066840562733</v>
      </c>
      <c r="N50" s="10">
        <v>8.847595994556368</v>
      </c>
      <c r="O50" s="10">
        <v>16.94571418944507</v>
      </c>
      <c r="P50" s="10">
        <v>753.32570722477726</v>
      </c>
      <c r="Q50" s="10">
        <v>5.24</v>
      </c>
      <c r="R50" s="10">
        <v>6.84</v>
      </c>
    </row>
    <row r="51" spans="1:18" x14ac:dyDescent="0.3">
      <c r="B51" s="46" t="s">
        <v>76</v>
      </c>
      <c r="C51" s="40">
        <f>MIN(C46:C50)</f>
        <v>6.3949999999999996</v>
      </c>
      <c r="D51" s="40">
        <f t="shared" ref="D51:R51" si="20">MIN(D46:D50)</f>
        <v>4.5879925660835639</v>
      </c>
      <c r="E51" s="40">
        <f t="shared" si="20"/>
        <v>0.75167567734288532</v>
      </c>
      <c r="F51" s="40">
        <f t="shared" si="20"/>
        <v>0.65766666666666662</v>
      </c>
      <c r="G51" s="40">
        <f t="shared" si="20"/>
        <v>16.031140870081245</v>
      </c>
      <c r="H51" s="40">
        <f t="shared" si="20"/>
        <v>2.1998925963770324</v>
      </c>
      <c r="I51" s="40">
        <f t="shared" si="20"/>
        <v>0.9417007234972532</v>
      </c>
      <c r="J51" s="40">
        <f t="shared" si="20"/>
        <v>0.87658550900318644</v>
      </c>
      <c r="K51" s="40">
        <f t="shared" si="20"/>
        <v>1.9839725474818937</v>
      </c>
      <c r="L51" s="40">
        <f t="shared" si="20"/>
        <v>2.2407316885592343</v>
      </c>
      <c r="M51" s="40">
        <f t="shared" si="20"/>
        <v>3.1074128193229091</v>
      </c>
      <c r="N51" s="40">
        <f t="shared" si="20"/>
        <v>8.847595994556368</v>
      </c>
      <c r="O51" s="40">
        <f t="shared" si="20"/>
        <v>16.94571418944507</v>
      </c>
      <c r="P51" s="40">
        <f t="shared" si="20"/>
        <v>8.5834830332563108</v>
      </c>
      <c r="Q51" s="40">
        <f t="shared" si="20"/>
        <v>5.24</v>
      </c>
      <c r="R51" s="40">
        <f t="shared" si="20"/>
        <v>6.84</v>
      </c>
    </row>
    <row r="52" spans="1:18" x14ac:dyDescent="0.3">
      <c r="B52" s="46" t="s">
        <v>77</v>
      </c>
      <c r="C52" s="40">
        <f>MAX(C46:C50)</f>
        <v>52.103333333333332</v>
      </c>
      <c r="D52" s="40">
        <f t="shared" ref="D52:R52" si="21">MAX(D46:D50)</f>
        <v>12.809496428967719</v>
      </c>
      <c r="E52" s="40">
        <f t="shared" si="21"/>
        <v>4.8083435053748156</v>
      </c>
      <c r="F52" s="40">
        <f t="shared" si="21"/>
        <v>53.196491026944969</v>
      </c>
      <c r="G52" s="40">
        <f t="shared" si="21"/>
        <v>162.40764784574822</v>
      </c>
      <c r="H52" s="40">
        <f t="shared" si="21"/>
        <v>27.602511907020087</v>
      </c>
      <c r="I52" s="40">
        <f t="shared" si="21"/>
        <v>472.67333333333335</v>
      </c>
      <c r="J52" s="40">
        <f t="shared" si="21"/>
        <v>1.4669184518075011</v>
      </c>
      <c r="K52" s="40">
        <f t="shared" si="21"/>
        <v>44.37717840442744</v>
      </c>
      <c r="L52" s="40">
        <f t="shared" si="21"/>
        <v>142.50709898335424</v>
      </c>
      <c r="M52" s="40">
        <f t="shared" si="21"/>
        <v>110.96136391646661</v>
      </c>
      <c r="N52" s="40">
        <f t="shared" si="21"/>
        <v>111.78363647229443</v>
      </c>
      <c r="O52" s="40">
        <f t="shared" si="21"/>
        <v>787.09632191286153</v>
      </c>
      <c r="P52" s="40">
        <f t="shared" si="21"/>
        <v>842.06525108883818</v>
      </c>
      <c r="Q52" s="40">
        <f t="shared" si="21"/>
        <v>29.193785710306134</v>
      </c>
      <c r="R52" s="40">
        <f t="shared" si="21"/>
        <v>829.6142628996131</v>
      </c>
    </row>
    <row r="53" spans="1:18" x14ac:dyDescent="0.3">
      <c r="B53" s="46" t="s">
        <v>78</v>
      </c>
      <c r="C53" s="40">
        <f t="shared" ref="C53:I53" si="22">AVERAGE(C46:C50)</f>
        <v>28.50760561644298</v>
      </c>
      <c r="D53" s="40">
        <f t="shared" si="22"/>
        <v>6.651516321141739</v>
      </c>
      <c r="E53" s="40">
        <f t="shared" si="22"/>
        <v>2.0626320994494103</v>
      </c>
      <c r="F53" s="40">
        <f t="shared" si="22"/>
        <v>23.060138079641924</v>
      </c>
      <c r="G53" s="40">
        <f t="shared" si="22"/>
        <v>71.777135635783196</v>
      </c>
      <c r="H53" s="40">
        <f t="shared" si="22"/>
        <v>11.881154862999253</v>
      </c>
      <c r="I53" s="42">
        <f t="shared" si="22"/>
        <v>186.42032763068502</v>
      </c>
      <c r="J53" s="40">
        <f t="shared" ref="J53:R53" si="23">AVERAGE(J46:J50)</f>
        <v>1.1189366625084041</v>
      </c>
      <c r="K53" s="40">
        <f t="shared" si="23"/>
        <v>17.688563199298457</v>
      </c>
      <c r="L53" s="40">
        <f t="shared" si="23"/>
        <v>79.683650324694469</v>
      </c>
      <c r="M53" s="40">
        <f t="shared" si="23"/>
        <v>43.922918127935496</v>
      </c>
      <c r="N53" s="40">
        <f t="shared" si="23"/>
        <v>59.541066924091965</v>
      </c>
      <c r="O53" s="40">
        <f t="shared" si="23"/>
        <v>365.42000554154362</v>
      </c>
      <c r="P53" s="40">
        <f t="shared" si="23"/>
        <v>328.05843319044652</v>
      </c>
      <c r="Q53" s="40">
        <f t="shared" si="23"/>
        <v>14.5479407752612</v>
      </c>
      <c r="R53" s="40">
        <f t="shared" si="23"/>
        <v>418.70847642887372</v>
      </c>
    </row>
    <row r="54" spans="1:18" x14ac:dyDescent="0.3">
      <c r="B54" s="46" t="s">
        <v>79</v>
      </c>
      <c r="C54" s="40">
        <f>MEDIAN(C46:C50)</f>
        <v>21.219599946929812</v>
      </c>
      <c r="D54" s="40">
        <f t="shared" ref="D54:R54" si="24">MEDIAN(D46:D50)</f>
        <v>5.41</v>
      </c>
      <c r="E54" s="40">
        <f t="shared" si="24"/>
        <v>1.7438750522802309</v>
      </c>
      <c r="F54" s="40">
        <f t="shared" si="24"/>
        <v>11.506666666666668</v>
      </c>
      <c r="G54" s="40">
        <f t="shared" si="24"/>
        <v>21.264662287174716</v>
      </c>
      <c r="H54" s="40">
        <f t="shared" si="24"/>
        <v>3.3556623442640046</v>
      </c>
      <c r="I54" s="40">
        <f t="shared" si="24"/>
        <v>41.425999999999995</v>
      </c>
      <c r="J54" s="40">
        <f t="shared" si="24"/>
        <v>1.1200000000000001</v>
      </c>
      <c r="K54" s="40">
        <f t="shared" si="24"/>
        <v>15.720587752224512</v>
      </c>
      <c r="L54" s="40">
        <f t="shared" si="24"/>
        <v>123.56026970010346</v>
      </c>
      <c r="M54" s="40">
        <f t="shared" si="24"/>
        <v>6.4927877647442838</v>
      </c>
      <c r="N54" s="40">
        <f t="shared" si="24"/>
        <v>65.371671426404163</v>
      </c>
      <c r="O54" s="40">
        <f t="shared" si="24"/>
        <v>492.73176867495329</v>
      </c>
      <c r="P54" s="40">
        <f t="shared" si="24"/>
        <v>23.704175766257361</v>
      </c>
      <c r="Q54" s="40">
        <f t="shared" si="24"/>
        <v>11.539684416923889</v>
      </c>
      <c r="R54" s="40">
        <f t="shared" si="24"/>
        <v>551.79938633449274</v>
      </c>
    </row>
    <row r="55" spans="1:18" x14ac:dyDescent="0.3">
      <c r="B55" s="46" t="s">
        <v>68</v>
      </c>
      <c r="C55" s="40">
        <f t="shared" ref="C55:I55" si="25">STDEV(C46:C50)</f>
        <v>19.319001927518201</v>
      </c>
      <c r="D55" s="40">
        <f t="shared" si="25"/>
        <v>3.480752004225673</v>
      </c>
      <c r="E55" s="40">
        <f t="shared" si="25"/>
        <v>1.6377681594576048</v>
      </c>
      <c r="F55" s="40">
        <f t="shared" si="25"/>
        <v>23.102918920939562</v>
      </c>
      <c r="G55" s="40">
        <f t="shared" si="25"/>
        <v>72.185304632070384</v>
      </c>
      <c r="H55" s="40">
        <f t="shared" si="25"/>
        <v>12.353227155895421</v>
      </c>
      <c r="I55" s="40">
        <f t="shared" si="25"/>
        <v>236.84620135725223</v>
      </c>
      <c r="J55" s="40">
        <f t="shared" ref="J55:R55" si="26">STDEV(J46:J50)</f>
        <v>0.23295057056784646</v>
      </c>
      <c r="K55" s="40">
        <f t="shared" si="26"/>
        <v>17.04369140849818</v>
      </c>
      <c r="L55" s="40">
        <f t="shared" si="26"/>
        <v>70.493672363207978</v>
      </c>
      <c r="M55" s="40">
        <f t="shared" si="26"/>
        <v>53.441084239042368</v>
      </c>
      <c r="N55" s="40">
        <f t="shared" si="26"/>
        <v>47.588549467000838</v>
      </c>
      <c r="O55" s="40">
        <f t="shared" si="26"/>
        <v>336.47597349582537</v>
      </c>
      <c r="P55" s="40">
        <f t="shared" si="26"/>
        <v>429.90013260762726</v>
      </c>
      <c r="Q55" s="40">
        <f t="shared" si="26"/>
        <v>10.411400609992207</v>
      </c>
      <c r="R55" s="40">
        <f t="shared" si="26"/>
        <v>383.21393437510233</v>
      </c>
    </row>
    <row r="57" spans="1:18" x14ac:dyDescent="0.3">
      <c r="A57" t="s">
        <v>73</v>
      </c>
      <c r="B57" s="6" t="s">
        <v>65</v>
      </c>
      <c r="C57" s="4">
        <v>38.340000000000003</v>
      </c>
      <c r="D57" s="4">
        <v>5.2889706850945588</v>
      </c>
      <c r="E57" s="4">
        <v>2.3169931050105763</v>
      </c>
      <c r="F57" s="4">
        <v>3.3566666666666665</v>
      </c>
      <c r="G57" s="4">
        <v>109.45790100726279</v>
      </c>
      <c r="H57" s="4">
        <v>3.2900671125128835</v>
      </c>
      <c r="I57" s="4">
        <v>276.05</v>
      </c>
      <c r="J57" s="4">
        <v>0.61865898239390837</v>
      </c>
      <c r="K57" s="4">
        <v>10.896375768723333</v>
      </c>
      <c r="L57" s="4">
        <v>119.76660157379527</v>
      </c>
      <c r="M57" s="4">
        <v>3.792086065158021</v>
      </c>
      <c r="N57" s="4">
        <v>200.175431720787</v>
      </c>
      <c r="O57" s="4">
        <v>542.14861492446539</v>
      </c>
      <c r="P57" s="4">
        <v>6.6215246292766494</v>
      </c>
      <c r="Q57" s="4">
        <v>9.9744094600212669</v>
      </c>
      <c r="R57" s="4">
        <v>315.4685159788321</v>
      </c>
    </row>
    <row r="58" spans="1:18" x14ac:dyDescent="0.3">
      <c r="B58" s="7" t="s">
        <v>28</v>
      </c>
      <c r="C58" s="4">
        <v>37.218333333333334</v>
      </c>
      <c r="D58" s="4">
        <v>7.203602708741232</v>
      </c>
      <c r="E58" s="4">
        <v>3.3699313309901</v>
      </c>
      <c r="F58" s="4">
        <v>3.7933333333333334</v>
      </c>
      <c r="G58" s="4">
        <v>98.952683506429878</v>
      </c>
      <c r="H58" s="4">
        <v>3.9476691120591991</v>
      </c>
      <c r="I58" s="4">
        <v>268.93166666666667</v>
      </c>
      <c r="J58" s="4">
        <v>0.49973512919590979</v>
      </c>
      <c r="K58" s="4">
        <v>10.813702915889692</v>
      </c>
      <c r="L58" s="4">
        <v>94.432174450956069</v>
      </c>
      <c r="M58" s="4">
        <v>3.0642803958868599</v>
      </c>
      <c r="N58" s="4">
        <v>184.24549699480784</v>
      </c>
      <c r="O58" s="4">
        <v>544.75435171314768</v>
      </c>
      <c r="P58" s="4">
        <v>5.288025747359054</v>
      </c>
      <c r="Q58" s="4">
        <v>8.281111074097895</v>
      </c>
      <c r="R58" s="4">
        <v>229.67007150853289</v>
      </c>
    </row>
    <row r="59" spans="1:18" x14ac:dyDescent="0.3">
      <c r="B59" s="31" t="s">
        <v>47</v>
      </c>
      <c r="C59" s="10">
        <v>4.7133333333333338</v>
      </c>
      <c r="D59" s="10">
        <v>13.928761215495777</v>
      </c>
      <c r="E59" s="10">
        <v>4.6139287887139382</v>
      </c>
      <c r="F59" s="10">
        <v>0.158</v>
      </c>
      <c r="G59" s="10">
        <v>135.61985624775119</v>
      </c>
      <c r="H59" s="10">
        <v>4.1672509916260809</v>
      </c>
      <c r="I59" s="10">
        <v>29.473333333333333</v>
      </c>
      <c r="J59" s="10">
        <v>0.64331584347691606</v>
      </c>
      <c r="K59" s="10">
        <v>30.763940766388867</v>
      </c>
      <c r="L59" s="10">
        <v>118.61728412222082</v>
      </c>
      <c r="M59" s="10">
        <v>4.0500322790387129</v>
      </c>
      <c r="N59" s="10">
        <v>253.51872607145114</v>
      </c>
      <c r="O59" s="10">
        <v>791.24475935196176</v>
      </c>
      <c r="P59" s="10">
        <v>16.670307464334901</v>
      </c>
      <c r="Q59" s="10">
        <v>15.065497963260507</v>
      </c>
      <c r="R59" s="10">
        <v>310.50719264811846</v>
      </c>
    </row>
    <row r="60" spans="1:18" x14ac:dyDescent="0.3">
      <c r="B60" s="31" t="s">
        <v>64</v>
      </c>
      <c r="C60" s="10">
        <v>146.6930121640782</v>
      </c>
      <c r="D60" s="10">
        <v>12.125</v>
      </c>
      <c r="E60" s="10">
        <v>1.0649335395673898</v>
      </c>
      <c r="F60" s="10">
        <v>19.27536054233223</v>
      </c>
      <c r="G60" s="10">
        <v>97.027648553632787</v>
      </c>
      <c r="H60" s="10">
        <v>11.642111002880689</v>
      </c>
      <c r="I60" s="10">
        <v>0.56469357940322262</v>
      </c>
      <c r="J60" s="10">
        <v>3.5772765533437427</v>
      </c>
      <c r="K60" s="10">
        <v>7.1686634766357624</v>
      </c>
      <c r="L60" s="10">
        <v>5.4509137130922616</v>
      </c>
      <c r="M60" s="10">
        <v>223.9283776087866</v>
      </c>
      <c r="N60" s="10">
        <v>17.301708404203566</v>
      </c>
      <c r="O60" s="10">
        <v>9.1448012968947587</v>
      </c>
      <c r="P60" s="10">
        <v>281.24948421287121</v>
      </c>
      <c r="Q60" s="10">
        <v>11.675000000000001</v>
      </c>
      <c r="R60" s="10">
        <v>10.76</v>
      </c>
    </row>
    <row r="61" spans="1:18" x14ac:dyDescent="0.3">
      <c r="B61" s="36" t="s">
        <v>57</v>
      </c>
      <c r="C61" s="10">
        <v>180.27312984271182</v>
      </c>
      <c r="D61" s="10">
        <v>11.285</v>
      </c>
      <c r="E61" s="10">
        <v>0.87227361693124394</v>
      </c>
      <c r="F61" s="10">
        <v>22.46262065673951</v>
      </c>
      <c r="G61" s="10">
        <v>126.9732894641061</v>
      </c>
      <c r="H61" s="10">
        <v>13.048425133601926</v>
      </c>
      <c r="I61" s="10">
        <v>0.76264848431483523</v>
      </c>
      <c r="J61" s="10">
        <v>5.2737828482045757</v>
      </c>
      <c r="K61" s="10">
        <v>3.2546377518659479</v>
      </c>
      <c r="L61" s="10">
        <v>4.0343551309302246</v>
      </c>
      <c r="M61" s="10">
        <v>188.09141286332761</v>
      </c>
      <c r="N61" s="10">
        <v>10.915508132191563</v>
      </c>
      <c r="O61" s="10">
        <v>12.844776862677325</v>
      </c>
      <c r="P61" s="10">
        <v>479.90712425739594</v>
      </c>
      <c r="Q61" s="10">
        <v>10.445</v>
      </c>
      <c r="R61" s="10">
        <v>6.66</v>
      </c>
    </row>
    <row r="62" spans="1:18" x14ac:dyDescent="0.3">
      <c r="B62" s="47" t="s">
        <v>76</v>
      </c>
      <c r="C62" s="42">
        <f>MIN(C57:C61)</f>
        <v>4.7133333333333338</v>
      </c>
      <c r="D62" s="42">
        <f t="shared" ref="D62:R62" si="27">MIN(D57:D61)</f>
        <v>5.2889706850945588</v>
      </c>
      <c r="E62" s="42">
        <f t="shared" si="27"/>
        <v>0.87227361693124394</v>
      </c>
      <c r="F62" s="42">
        <f t="shared" si="27"/>
        <v>0.158</v>
      </c>
      <c r="G62" s="42">
        <f t="shared" si="27"/>
        <v>97.027648553632787</v>
      </c>
      <c r="H62" s="42">
        <f t="shared" si="27"/>
        <v>3.2900671125128835</v>
      </c>
      <c r="I62" s="42">
        <f t="shared" si="27"/>
        <v>0.56469357940322262</v>
      </c>
      <c r="J62" s="42">
        <f t="shared" si="27"/>
        <v>0.49973512919590979</v>
      </c>
      <c r="K62" s="42">
        <f t="shared" si="27"/>
        <v>3.2546377518659479</v>
      </c>
      <c r="L62" s="42">
        <f t="shared" si="27"/>
        <v>4.0343551309302246</v>
      </c>
      <c r="M62" s="42">
        <f t="shared" si="27"/>
        <v>3.0642803958868599</v>
      </c>
      <c r="N62" s="42">
        <f t="shared" si="27"/>
        <v>10.915508132191563</v>
      </c>
      <c r="O62" s="42">
        <f t="shared" si="27"/>
        <v>9.1448012968947587</v>
      </c>
      <c r="P62" s="42">
        <f t="shared" si="27"/>
        <v>5.288025747359054</v>
      </c>
      <c r="Q62" s="42">
        <f t="shared" si="27"/>
        <v>8.281111074097895</v>
      </c>
      <c r="R62" s="42">
        <f t="shared" si="27"/>
        <v>6.66</v>
      </c>
    </row>
    <row r="63" spans="1:18" x14ac:dyDescent="0.3">
      <c r="B63" s="47" t="s">
        <v>77</v>
      </c>
      <c r="C63" s="42">
        <f>MAX(C57:C61)</f>
        <v>180.27312984271182</v>
      </c>
      <c r="D63" s="42">
        <f t="shared" ref="D63:R63" si="28">MAX(D57:D61)</f>
        <v>13.928761215495777</v>
      </c>
      <c r="E63" s="42">
        <f t="shared" si="28"/>
        <v>4.6139287887139382</v>
      </c>
      <c r="F63" s="42">
        <f t="shared" si="28"/>
        <v>22.46262065673951</v>
      </c>
      <c r="G63" s="42">
        <f t="shared" si="28"/>
        <v>135.61985624775119</v>
      </c>
      <c r="H63" s="42">
        <f t="shared" si="28"/>
        <v>13.048425133601926</v>
      </c>
      <c r="I63" s="42">
        <f t="shared" si="28"/>
        <v>276.05</v>
      </c>
      <c r="J63" s="42">
        <f t="shared" si="28"/>
        <v>5.2737828482045757</v>
      </c>
      <c r="K63" s="42">
        <f t="shared" si="28"/>
        <v>30.763940766388867</v>
      </c>
      <c r="L63" s="42">
        <f t="shared" si="28"/>
        <v>119.76660157379527</v>
      </c>
      <c r="M63" s="42">
        <f t="shared" si="28"/>
        <v>223.9283776087866</v>
      </c>
      <c r="N63" s="42">
        <f t="shared" si="28"/>
        <v>253.51872607145114</v>
      </c>
      <c r="O63" s="42">
        <f t="shared" si="28"/>
        <v>791.24475935196176</v>
      </c>
      <c r="P63" s="42">
        <f t="shared" si="28"/>
        <v>479.90712425739594</v>
      </c>
      <c r="Q63" s="42">
        <f t="shared" si="28"/>
        <v>15.065497963260507</v>
      </c>
      <c r="R63" s="42">
        <f t="shared" si="28"/>
        <v>315.4685159788321</v>
      </c>
    </row>
    <row r="64" spans="1:18" x14ac:dyDescent="0.3">
      <c r="B64" s="47" t="s">
        <v>78</v>
      </c>
      <c r="C64" s="42">
        <f t="shared" ref="C64:I64" si="29">AVERAGE(C57:C61)</f>
        <v>81.447561734691334</v>
      </c>
      <c r="D64" s="42">
        <f t="shared" si="29"/>
        <v>9.9662669218663122</v>
      </c>
      <c r="E64" s="42">
        <f t="shared" si="29"/>
        <v>2.4476120762426499</v>
      </c>
      <c r="F64" s="42">
        <f t="shared" si="29"/>
        <v>9.809196239814348</v>
      </c>
      <c r="G64" s="42">
        <f t="shared" si="29"/>
        <v>113.60627575583655</v>
      </c>
      <c r="H64" s="42">
        <f t="shared" si="29"/>
        <v>7.2191046705361561</v>
      </c>
      <c r="I64" s="42">
        <f t="shared" si="29"/>
        <v>115.15646841274361</v>
      </c>
      <c r="J64" s="42">
        <f t="shared" ref="J64:R64" si="30">AVERAGE(J57:J61)</f>
        <v>2.1225538713230105</v>
      </c>
      <c r="K64" s="42">
        <f t="shared" si="30"/>
        <v>12.579464135900722</v>
      </c>
      <c r="L64" s="42">
        <f t="shared" si="30"/>
        <v>68.460265798198932</v>
      </c>
      <c r="M64" s="42">
        <f t="shared" si="30"/>
        <v>84.585237842439568</v>
      </c>
      <c r="N64" s="42">
        <f t="shared" si="30"/>
        <v>133.23137426468821</v>
      </c>
      <c r="O64" s="42">
        <f t="shared" si="30"/>
        <v>380.02746082982941</v>
      </c>
      <c r="P64" s="42">
        <f t="shared" si="30"/>
        <v>157.94729326224757</v>
      </c>
      <c r="Q64" s="42">
        <f t="shared" si="30"/>
        <v>11.088203699475933</v>
      </c>
      <c r="R64" s="42">
        <f t="shared" si="30"/>
        <v>174.61315602709666</v>
      </c>
    </row>
    <row r="65" spans="1:18" x14ac:dyDescent="0.3">
      <c r="B65" s="47" t="s">
        <v>79</v>
      </c>
      <c r="C65" s="42">
        <f>MEDIAN(C57:C61)</f>
        <v>38.340000000000003</v>
      </c>
      <c r="D65" s="42">
        <f t="shared" ref="D65:R65" si="31">MEDIAN(D57:D61)</f>
        <v>11.285</v>
      </c>
      <c r="E65" s="42">
        <f t="shared" si="31"/>
        <v>2.3169931050105763</v>
      </c>
      <c r="F65" s="42">
        <f t="shared" si="31"/>
        <v>3.7933333333333334</v>
      </c>
      <c r="G65" s="42">
        <f t="shared" si="31"/>
        <v>109.45790100726279</v>
      </c>
      <c r="H65" s="42">
        <f t="shared" si="31"/>
        <v>4.1672509916260809</v>
      </c>
      <c r="I65" s="42">
        <f t="shared" si="31"/>
        <v>29.473333333333333</v>
      </c>
      <c r="J65" s="42">
        <f t="shared" si="31"/>
        <v>0.64331584347691606</v>
      </c>
      <c r="K65" s="42">
        <f t="shared" si="31"/>
        <v>10.813702915889692</v>
      </c>
      <c r="L65" s="42">
        <f t="shared" si="31"/>
        <v>94.432174450956069</v>
      </c>
      <c r="M65" s="42">
        <f t="shared" si="31"/>
        <v>4.0500322790387129</v>
      </c>
      <c r="N65" s="42">
        <f t="shared" si="31"/>
        <v>184.24549699480784</v>
      </c>
      <c r="O65" s="42">
        <f t="shared" si="31"/>
        <v>542.14861492446539</v>
      </c>
      <c r="P65" s="42">
        <f t="shared" si="31"/>
        <v>16.670307464334901</v>
      </c>
      <c r="Q65" s="42">
        <f t="shared" si="31"/>
        <v>10.445</v>
      </c>
      <c r="R65" s="42">
        <f t="shared" si="31"/>
        <v>229.67007150853289</v>
      </c>
    </row>
    <row r="66" spans="1:18" x14ac:dyDescent="0.3">
      <c r="B66" s="47" t="s">
        <v>68</v>
      </c>
      <c r="C66" s="42">
        <f t="shared" ref="C66:I66" si="32">STDEV(C57:C61)</f>
        <v>77.016378202379897</v>
      </c>
      <c r="D66" s="42">
        <f t="shared" si="32"/>
        <v>3.5920036227027934</v>
      </c>
      <c r="E66" s="42">
        <f t="shared" si="32"/>
        <v>1.5775101758169503</v>
      </c>
      <c r="F66" s="42">
        <f t="shared" si="32"/>
        <v>10.255349205883091</v>
      </c>
      <c r="G66" s="42">
        <f t="shared" si="32"/>
        <v>17.103087735312602</v>
      </c>
      <c r="H66" s="42">
        <f t="shared" si="32"/>
        <v>4.7169216577175384</v>
      </c>
      <c r="I66" s="42">
        <f t="shared" si="32"/>
        <v>144.12872773926966</v>
      </c>
      <c r="J66" s="42">
        <f t="shared" ref="J66:R66" si="33">STDEV(J57:J61)</f>
        <v>2.1868840730646704</v>
      </c>
      <c r="K66" s="42">
        <f t="shared" si="33"/>
        <v>10.640195490794392</v>
      </c>
      <c r="L66" s="42">
        <f t="shared" si="33"/>
        <v>59.041263181849111</v>
      </c>
      <c r="M66" s="42">
        <f t="shared" si="33"/>
        <v>111.56742140926174</v>
      </c>
      <c r="N66" s="42">
        <f t="shared" si="33"/>
        <v>111.75179314619473</v>
      </c>
      <c r="O66" s="42">
        <f t="shared" si="33"/>
        <v>351.7438536550589</v>
      </c>
      <c r="P66" s="42">
        <f t="shared" si="33"/>
        <v>215.07271444463493</v>
      </c>
      <c r="Q66" s="42">
        <f t="shared" si="33"/>
        <v>2.5346211340827742</v>
      </c>
      <c r="R66" s="42">
        <f t="shared" si="33"/>
        <v>155.23756384822022</v>
      </c>
    </row>
    <row r="68" spans="1:18" x14ac:dyDescent="0.3">
      <c r="A68" t="s">
        <v>74</v>
      </c>
      <c r="B68" s="6" t="s">
        <v>20</v>
      </c>
      <c r="C68" s="4">
        <v>50.126666666666665</v>
      </c>
      <c r="D68" s="4">
        <v>16.761131816250234</v>
      </c>
      <c r="E68" s="4">
        <v>2.6573015654313616</v>
      </c>
      <c r="F68" s="4">
        <v>10.130000000000001</v>
      </c>
      <c r="G68" s="4">
        <v>21.020297149914008</v>
      </c>
      <c r="H68" s="4">
        <v>4.0778897338846001</v>
      </c>
      <c r="I68" s="4">
        <v>281.48333333333335</v>
      </c>
      <c r="J68" s="4">
        <v>1.5872359791531627</v>
      </c>
      <c r="K68" s="4">
        <v>45.923576049275759</v>
      </c>
      <c r="L68" s="4">
        <v>223.87466251491253</v>
      </c>
      <c r="M68" s="4">
        <v>31.448582386786047</v>
      </c>
      <c r="N68" s="4">
        <v>263.71263105628964</v>
      </c>
      <c r="O68" s="4">
        <v>965.44302394086833</v>
      </c>
      <c r="P68" s="4">
        <v>22.052491783640413</v>
      </c>
      <c r="Q68" s="4">
        <v>53.908100016854164</v>
      </c>
      <c r="R68" s="4">
        <v>1312.5267772794134</v>
      </c>
    </row>
    <row r="69" spans="1:18" x14ac:dyDescent="0.3">
      <c r="B69" s="7" t="s">
        <v>25</v>
      </c>
      <c r="C69" s="4">
        <v>47.616666666666667</v>
      </c>
      <c r="D69" s="4">
        <v>13.272611919608092</v>
      </c>
      <c r="E69" s="4">
        <v>2.58005216240289</v>
      </c>
      <c r="F69" s="4">
        <v>12.023333333333335</v>
      </c>
      <c r="G69" s="4">
        <v>30.344169046739989</v>
      </c>
      <c r="H69" s="4">
        <v>7.0237281318884586</v>
      </c>
      <c r="I69" s="4">
        <v>305.32</v>
      </c>
      <c r="J69" s="4">
        <v>1.4988455748272045</v>
      </c>
      <c r="K69" s="4">
        <v>56.469972197937778</v>
      </c>
      <c r="L69" s="4">
        <v>221.09735981188931</v>
      </c>
      <c r="M69" s="4">
        <v>15.764296909218732</v>
      </c>
      <c r="N69" s="4">
        <v>266.76350610335567</v>
      </c>
      <c r="O69" s="4">
        <v>1021.8354398139161</v>
      </c>
      <c r="P69" s="4">
        <v>27.961731602036103</v>
      </c>
      <c r="Q69" s="4">
        <v>40.345114427147706</v>
      </c>
      <c r="R69" s="4">
        <v>1101.9998564726657</v>
      </c>
    </row>
    <row r="70" spans="1:18" x14ac:dyDescent="0.3">
      <c r="B70" s="31" t="s">
        <v>50</v>
      </c>
      <c r="C70" s="10">
        <v>4.8503333333333343</v>
      </c>
      <c r="D70" s="10">
        <v>35.415206646297015</v>
      </c>
      <c r="E70" s="10">
        <v>3.1151940321632474</v>
      </c>
      <c r="F70" s="10">
        <v>1.2873333333333334</v>
      </c>
      <c r="G70" s="10">
        <v>35.202999155243987</v>
      </c>
      <c r="H70" s="10">
        <v>8.5728619441704197</v>
      </c>
      <c r="I70" s="10">
        <v>28.826000000000004</v>
      </c>
      <c r="J70" s="10">
        <v>1.745516393470572</v>
      </c>
      <c r="K70" s="10">
        <v>81.078096900524073</v>
      </c>
      <c r="L70" s="10">
        <v>252.15405204478893</v>
      </c>
      <c r="M70" s="10">
        <v>26.91780927169884</v>
      </c>
      <c r="N70" s="10">
        <v>343.87869308531822</v>
      </c>
      <c r="O70" s="10">
        <v>1179.3370641940667</v>
      </c>
      <c r="P70" s="10">
        <v>46.076271453151037</v>
      </c>
      <c r="Q70" s="10">
        <v>37.831369827948443</v>
      </c>
      <c r="R70" s="10">
        <v>1197.5401631909651</v>
      </c>
    </row>
    <row r="71" spans="1:18" x14ac:dyDescent="0.3">
      <c r="B71" s="34" t="s">
        <v>54</v>
      </c>
      <c r="C71" s="10">
        <v>36.647449541241031</v>
      </c>
      <c r="D71" s="10">
        <v>6.6449999999999996</v>
      </c>
      <c r="E71" s="10">
        <v>1.1379585940643662</v>
      </c>
      <c r="F71" s="10">
        <v>90.045781483167744</v>
      </c>
      <c r="G71" s="10">
        <v>244.06669098924471</v>
      </c>
      <c r="H71" s="10">
        <v>44.700062494413217</v>
      </c>
      <c r="I71" s="10">
        <v>1.6384806571421302</v>
      </c>
      <c r="J71" s="10">
        <v>37.868748854683446</v>
      </c>
      <c r="K71" s="10">
        <v>3.3247644554321178</v>
      </c>
      <c r="L71" s="10">
        <v>7.4370144974601331</v>
      </c>
      <c r="M71" s="10">
        <v>536.00876357534071</v>
      </c>
      <c r="N71" s="10">
        <v>35.444468548149175</v>
      </c>
      <c r="O71" s="10">
        <v>38.69627296334739</v>
      </c>
      <c r="P71" s="10">
        <v>1052.8474414142552</v>
      </c>
      <c r="Q71" s="10">
        <v>6.6999999999999993</v>
      </c>
      <c r="R71" s="10">
        <v>9.57</v>
      </c>
    </row>
    <row r="72" spans="1:18" x14ac:dyDescent="0.3">
      <c r="B72" s="36" t="s">
        <v>58</v>
      </c>
      <c r="C72" s="10">
        <v>27.805464870480311</v>
      </c>
      <c r="D72" s="10">
        <v>6.5350000000000001</v>
      </c>
      <c r="E72" s="10">
        <v>0.95062247265382704</v>
      </c>
      <c r="F72" s="10">
        <v>80.043434408603986</v>
      </c>
      <c r="G72" s="10">
        <v>258.00517731754644</v>
      </c>
      <c r="H72" s="10">
        <v>39.858559811797797</v>
      </c>
      <c r="I72" s="10">
        <v>1.5612196335299058</v>
      </c>
      <c r="J72" s="10">
        <v>40.186574175903608</v>
      </c>
      <c r="K72" s="10">
        <v>2.5263840712809547</v>
      </c>
      <c r="L72" s="10">
        <v>5.6012811987416606</v>
      </c>
      <c r="M72" s="10">
        <v>621.19581244707229</v>
      </c>
      <c r="N72" s="10">
        <v>34.135005238852919</v>
      </c>
      <c r="O72" s="10">
        <v>112.82719926102064</v>
      </c>
      <c r="P72" s="10">
        <v>2187.7305236701386</v>
      </c>
      <c r="Q72" s="10">
        <v>6.415</v>
      </c>
      <c r="R72" s="10">
        <v>8.125</v>
      </c>
    </row>
    <row r="73" spans="1:18" x14ac:dyDescent="0.3">
      <c r="B73" s="47" t="s">
        <v>76</v>
      </c>
      <c r="C73" s="42">
        <f>MIN(C68:C72)</f>
        <v>4.8503333333333343</v>
      </c>
      <c r="D73" s="42">
        <f t="shared" ref="D73:R73" si="34">MIN(D68:D72)</f>
        <v>6.5350000000000001</v>
      </c>
      <c r="E73" s="42">
        <f t="shared" si="34"/>
        <v>0.95062247265382704</v>
      </c>
      <c r="F73" s="42">
        <f t="shared" si="34"/>
        <v>1.2873333333333334</v>
      </c>
      <c r="G73" s="42">
        <f t="shared" si="34"/>
        <v>21.020297149914008</v>
      </c>
      <c r="H73" s="42">
        <f t="shared" si="34"/>
        <v>4.0778897338846001</v>
      </c>
      <c r="I73" s="42">
        <f t="shared" si="34"/>
        <v>1.5612196335299058</v>
      </c>
      <c r="J73" s="42">
        <f t="shared" si="34"/>
        <v>1.4988455748272045</v>
      </c>
      <c r="K73" s="42">
        <f t="shared" si="34"/>
        <v>2.5263840712809547</v>
      </c>
      <c r="L73" s="42">
        <f t="shared" si="34"/>
        <v>5.6012811987416606</v>
      </c>
      <c r="M73" s="42">
        <f t="shared" si="34"/>
        <v>15.764296909218732</v>
      </c>
      <c r="N73" s="42">
        <f t="shared" si="34"/>
        <v>34.135005238852919</v>
      </c>
      <c r="O73" s="42">
        <f t="shared" si="34"/>
        <v>38.69627296334739</v>
      </c>
      <c r="P73" s="42">
        <f t="shared" si="34"/>
        <v>22.052491783640413</v>
      </c>
      <c r="Q73" s="42">
        <f t="shared" si="34"/>
        <v>6.415</v>
      </c>
      <c r="R73" s="42">
        <f t="shared" si="34"/>
        <v>8.125</v>
      </c>
    </row>
    <row r="74" spans="1:18" x14ac:dyDescent="0.3">
      <c r="B74" s="47" t="s">
        <v>77</v>
      </c>
      <c r="C74" s="42">
        <f>MAX(C68:C72)</f>
        <v>50.126666666666665</v>
      </c>
      <c r="D74" s="42">
        <f t="shared" ref="D74:R74" si="35">MAX(D68:D72)</f>
        <v>35.415206646297015</v>
      </c>
      <c r="E74" s="42">
        <f t="shared" si="35"/>
        <v>3.1151940321632474</v>
      </c>
      <c r="F74" s="42">
        <f t="shared" si="35"/>
        <v>90.045781483167744</v>
      </c>
      <c r="G74" s="42">
        <f t="shared" si="35"/>
        <v>258.00517731754644</v>
      </c>
      <c r="H74" s="42">
        <f t="shared" si="35"/>
        <v>44.700062494413217</v>
      </c>
      <c r="I74" s="42">
        <f t="shared" si="35"/>
        <v>305.32</v>
      </c>
      <c r="J74" s="42">
        <f t="shared" si="35"/>
        <v>40.186574175903608</v>
      </c>
      <c r="K74" s="42">
        <f t="shared" si="35"/>
        <v>81.078096900524073</v>
      </c>
      <c r="L74" s="42">
        <f t="shared" si="35"/>
        <v>252.15405204478893</v>
      </c>
      <c r="M74" s="42">
        <f t="shared" si="35"/>
        <v>621.19581244707229</v>
      </c>
      <c r="N74" s="42">
        <f t="shared" si="35"/>
        <v>343.87869308531822</v>
      </c>
      <c r="O74" s="42">
        <f t="shared" si="35"/>
        <v>1179.3370641940667</v>
      </c>
      <c r="P74" s="42">
        <f t="shared" si="35"/>
        <v>2187.7305236701386</v>
      </c>
      <c r="Q74" s="42">
        <f t="shared" si="35"/>
        <v>53.908100016854164</v>
      </c>
      <c r="R74" s="42">
        <f t="shared" si="35"/>
        <v>1312.5267772794134</v>
      </c>
    </row>
    <row r="75" spans="1:18" x14ac:dyDescent="0.3">
      <c r="B75" s="47" t="s">
        <v>61</v>
      </c>
      <c r="C75" s="42">
        <f t="shared" ref="C75:I75" si="36">AVERAGE(C68:C72)</f>
        <v>33.409316215677606</v>
      </c>
      <c r="D75" s="42">
        <f t="shared" si="36"/>
        <v>15.725790076431068</v>
      </c>
      <c r="E75" s="42">
        <f t="shared" si="36"/>
        <v>2.0882257653431386</v>
      </c>
      <c r="F75" s="42">
        <f t="shared" si="36"/>
        <v>38.70597651168768</v>
      </c>
      <c r="G75" s="42">
        <f t="shared" si="36"/>
        <v>117.72786673173782</v>
      </c>
      <c r="H75" s="42">
        <f t="shared" si="36"/>
        <v>20.846620423230899</v>
      </c>
      <c r="I75" s="42">
        <f t="shared" si="36"/>
        <v>123.76580672480108</v>
      </c>
      <c r="J75" s="42">
        <f t="shared" ref="J75:R75" si="37">AVERAGE(J68:J72)</f>
        <v>16.5773841956076</v>
      </c>
      <c r="K75" s="42">
        <f t="shared" si="37"/>
        <v>37.864558734890139</v>
      </c>
      <c r="L75" s="42">
        <f t="shared" si="37"/>
        <v>142.03287401355851</v>
      </c>
      <c r="M75" s="42">
        <f t="shared" si="37"/>
        <v>246.26705291802332</v>
      </c>
      <c r="N75" s="42">
        <f t="shared" si="37"/>
        <v>188.78686080639312</v>
      </c>
      <c r="O75" s="42">
        <f t="shared" si="37"/>
        <v>663.62780003464388</v>
      </c>
      <c r="P75" s="42">
        <f t="shared" si="37"/>
        <v>667.33369198464425</v>
      </c>
      <c r="Q75" s="42">
        <f t="shared" si="37"/>
        <v>29.039916854390061</v>
      </c>
      <c r="R75" s="42">
        <f t="shared" si="37"/>
        <v>725.9523593886089</v>
      </c>
    </row>
    <row r="76" spans="1:18" x14ac:dyDescent="0.3">
      <c r="B76" s="47" t="s">
        <v>79</v>
      </c>
      <c r="C76" s="42">
        <f>MEDIAN(C68:C72)</f>
        <v>36.647449541241031</v>
      </c>
      <c r="D76" s="42">
        <f t="shared" ref="D76:R76" si="38">MEDIAN(D68:D72)</f>
        <v>13.272611919608092</v>
      </c>
      <c r="E76" s="42">
        <f t="shared" si="38"/>
        <v>2.58005216240289</v>
      </c>
      <c r="F76" s="42">
        <f t="shared" si="38"/>
        <v>12.023333333333335</v>
      </c>
      <c r="G76" s="42">
        <f t="shared" si="38"/>
        <v>35.202999155243987</v>
      </c>
      <c r="H76" s="42">
        <f t="shared" si="38"/>
        <v>8.5728619441704197</v>
      </c>
      <c r="I76" s="42">
        <f t="shared" si="38"/>
        <v>28.826000000000004</v>
      </c>
      <c r="J76" s="42">
        <f t="shared" si="38"/>
        <v>1.745516393470572</v>
      </c>
      <c r="K76" s="42">
        <f t="shared" si="38"/>
        <v>45.923576049275759</v>
      </c>
      <c r="L76" s="42">
        <f t="shared" si="38"/>
        <v>221.09735981188931</v>
      </c>
      <c r="M76" s="42">
        <f t="shared" si="38"/>
        <v>31.448582386786047</v>
      </c>
      <c r="N76" s="42">
        <f t="shared" si="38"/>
        <v>263.71263105628964</v>
      </c>
      <c r="O76" s="42">
        <f t="shared" si="38"/>
        <v>965.44302394086833</v>
      </c>
      <c r="P76" s="42">
        <f t="shared" si="38"/>
        <v>46.076271453151037</v>
      </c>
      <c r="Q76" s="42">
        <f t="shared" si="38"/>
        <v>37.831369827948443</v>
      </c>
      <c r="R76" s="42">
        <f t="shared" si="38"/>
        <v>1101.9998564726657</v>
      </c>
    </row>
    <row r="77" spans="1:18" x14ac:dyDescent="0.3">
      <c r="B77" s="47" t="s">
        <v>68</v>
      </c>
      <c r="C77" s="42">
        <f t="shared" ref="C77:I77" si="39">STDEV(C68:C72)</f>
        <v>18.294963607135362</v>
      </c>
      <c r="D77" s="42">
        <f t="shared" si="39"/>
        <v>11.850047585244853</v>
      </c>
      <c r="E77" s="42">
        <f t="shared" si="39"/>
        <v>0.97692799638638328</v>
      </c>
      <c r="F77" s="42">
        <f t="shared" si="39"/>
        <v>42.64172175750484</v>
      </c>
      <c r="G77" s="42">
        <f t="shared" si="39"/>
        <v>121.89938554398137</v>
      </c>
      <c r="H77" s="42">
        <f t="shared" si="39"/>
        <v>19.706270356094652</v>
      </c>
      <c r="I77" s="42">
        <f t="shared" si="39"/>
        <v>155.48259956892952</v>
      </c>
      <c r="J77" s="42">
        <f t="shared" ref="J77:R77" si="40">STDEV(J68:J72)</f>
        <v>20.510772983734427</v>
      </c>
      <c r="K77" s="42">
        <f t="shared" si="40"/>
        <v>34.352230744233538</v>
      </c>
      <c r="L77" s="42">
        <f t="shared" si="40"/>
        <v>124.30363030449476</v>
      </c>
      <c r="M77" s="42">
        <f t="shared" si="40"/>
        <v>304.92393318410956</v>
      </c>
      <c r="N77" s="42">
        <f t="shared" si="40"/>
        <v>144.20366707621139</v>
      </c>
      <c r="O77" s="42">
        <f t="shared" si="40"/>
        <v>542.9737339544846</v>
      </c>
      <c r="P77" s="42">
        <f t="shared" si="40"/>
        <v>958.04129483289478</v>
      </c>
      <c r="Q77" s="42">
        <f t="shared" si="40"/>
        <v>21.415429128763467</v>
      </c>
      <c r="R77" s="42">
        <f t="shared" si="40"/>
        <v>658.85433276488789</v>
      </c>
    </row>
    <row r="79" spans="1:18" x14ac:dyDescent="0.3">
      <c r="A79" t="s">
        <v>75</v>
      </c>
      <c r="B79" s="6" t="s">
        <v>22</v>
      </c>
      <c r="C79" s="4">
        <v>48.546666666666667</v>
      </c>
      <c r="D79" s="4">
        <v>9.2757162561102184</v>
      </c>
      <c r="E79" s="4">
        <v>3.0068871181967443</v>
      </c>
      <c r="F79" s="4">
        <v>26.563333333333333</v>
      </c>
      <c r="G79" s="4">
        <v>29.460097829082976</v>
      </c>
      <c r="H79" s="4">
        <v>2.2312907427395943</v>
      </c>
      <c r="I79" s="4">
        <v>429.60666666666663</v>
      </c>
      <c r="J79" s="4">
        <v>0.76863830395602417</v>
      </c>
      <c r="K79" s="4">
        <v>53.777642339943725</v>
      </c>
      <c r="L79" s="4">
        <v>181.3180046253388</v>
      </c>
      <c r="M79" s="4">
        <v>6.6638967821844242</v>
      </c>
      <c r="N79" s="4">
        <v>95.639517237065647</v>
      </c>
      <c r="O79" s="4">
        <v>1281.1548581388547</v>
      </c>
      <c r="P79" s="4">
        <v>50.150161778904383</v>
      </c>
      <c r="Q79" s="4">
        <v>22.479586699822484</v>
      </c>
      <c r="R79" s="4">
        <v>917.58937235808412</v>
      </c>
    </row>
    <row r="80" spans="1:18" x14ac:dyDescent="0.3">
      <c r="B80" s="7" t="s">
        <v>27</v>
      </c>
      <c r="C80" s="4">
        <v>53.77</v>
      </c>
      <c r="D80" s="4">
        <v>10.013232671538608</v>
      </c>
      <c r="E80" s="4">
        <v>3.044726715506465</v>
      </c>
      <c r="F80" s="4">
        <v>14.016666666666667</v>
      </c>
      <c r="G80" s="4">
        <v>29.140764112318976</v>
      </c>
      <c r="H80" s="4">
        <v>2.8385635108218388</v>
      </c>
      <c r="I80" s="4">
        <v>421.14333333333337</v>
      </c>
      <c r="J80" s="4">
        <v>0.65993255671009254</v>
      </c>
      <c r="K80" s="4">
        <v>34.094524811166217</v>
      </c>
      <c r="L80" s="4">
        <v>175.73309753151221</v>
      </c>
      <c r="M80" s="4">
        <v>5.9777744887863324</v>
      </c>
      <c r="N80" s="4">
        <v>77.831444249618727</v>
      </c>
      <c r="O80" s="4">
        <v>1472.1746844635497</v>
      </c>
      <c r="P80" s="4">
        <v>32.329919900583675</v>
      </c>
      <c r="Q80" s="4">
        <v>14.114280893701451</v>
      </c>
      <c r="R80" s="4">
        <v>742.27769459663273</v>
      </c>
    </row>
    <row r="81" spans="1:21" x14ac:dyDescent="0.3">
      <c r="B81" s="31" t="s">
        <v>48</v>
      </c>
      <c r="C81" s="10">
        <v>6.919999999999999</v>
      </c>
      <c r="D81" s="10">
        <v>27.488509795510964</v>
      </c>
      <c r="E81" s="10">
        <v>5.1392677917970389</v>
      </c>
      <c r="F81" s="10">
        <v>1.5936666666666666</v>
      </c>
      <c r="G81" s="10">
        <v>30.645545808054152</v>
      </c>
      <c r="H81" s="10">
        <v>5.2959185482349715</v>
      </c>
      <c r="I81" s="10">
        <v>38.936666666666667</v>
      </c>
      <c r="J81" s="10">
        <v>0.78191005552178783</v>
      </c>
      <c r="K81" s="10">
        <v>61.021416302514126</v>
      </c>
      <c r="L81" s="10">
        <v>185.9256054837025</v>
      </c>
      <c r="M81" s="10">
        <v>7.1667463035975141</v>
      </c>
      <c r="N81" s="10">
        <v>90.153416408981698</v>
      </c>
      <c r="O81" s="10">
        <v>2224.1597734717034</v>
      </c>
      <c r="P81" s="10">
        <v>43.402919963723399</v>
      </c>
      <c r="Q81" s="10">
        <v>14.249750662336652</v>
      </c>
      <c r="R81" s="10">
        <v>892.68269556035511</v>
      </c>
    </row>
    <row r="82" spans="1:21" x14ac:dyDescent="0.3">
      <c r="B82" s="34" t="s">
        <v>52</v>
      </c>
      <c r="C82" s="10">
        <v>34.818832856141633</v>
      </c>
      <c r="D82" s="10">
        <v>6.7200000000000006</v>
      </c>
      <c r="E82" s="10">
        <v>2.1587229950969955</v>
      </c>
      <c r="F82" s="10">
        <v>51.449016520575356</v>
      </c>
      <c r="G82" s="10">
        <v>216.84373616945498</v>
      </c>
      <c r="H82" s="10">
        <v>39.100311760202189</v>
      </c>
      <c r="I82" s="10">
        <v>0.87382385121765294</v>
      </c>
      <c r="J82" s="10">
        <v>7.6478869937241445</v>
      </c>
      <c r="K82" s="10">
        <v>4.198316416973622</v>
      </c>
      <c r="L82" s="10">
        <v>3.0154256627005926</v>
      </c>
      <c r="M82" s="10">
        <v>83.216828061673112</v>
      </c>
      <c r="N82" s="10">
        <v>23.378933779667207</v>
      </c>
      <c r="O82" s="10">
        <v>15.639770454979185</v>
      </c>
      <c r="P82" s="10">
        <v>1002.1358283064123</v>
      </c>
      <c r="Q82" s="10">
        <v>6.47</v>
      </c>
      <c r="R82" s="10">
        <v>15.5</v>
      </c>
    </row>
    <row r="83" spans="1:21" x14ac:dyDescent="0.3">
      <c r="B83" s="36" t="s">
        <v>56</v>
      </c>
      <c r="C83" s="10">
        <v>38.605430583361056</v>
      </c>
      <c r="D83" s="10">
        <v>6.41</v>
      </c>
      <c r="E83" s="10">
        <v>2.8228586096354618</v>
      </c>
      <c r="F83" s="10">
        <v>64.289427300429253</v>
      </c>
      <c r="G83" s="10">
        <v>206.92295767935602</v>
      </c>
      <c r="H83" s="10">
        <v>43.442640147075359</v>
      </c>
      <c r="I83" s="10">
        <v>0.8797465614062252</v>
      </c>
      <c r="J83" s="10">
        <v>8.1829299877303505</v>
      </c>
      <c r="K83" s="10">
        <v>5.5195137292133314</v>
      </c>
      <c r="L83" s="10">
        <v>8.4755155401355342</v>
      </c>
      <c r="M83" s="10">
        <v>134.60717861790954</v>
      </c>
      <c r="N83" s="10">
        <v>27.181258190620028</v>
      </c>
      <c r="O83" s="10">
        <v>14.490002451634844</v>
      </c>
      <c r="P83" s="10">
        <v>1077.1965558065972</v>
      </c>
      <c r="Q83" s="10">
        <v>6.24</v>
      </c>
      <c r="R83" s="10">
        <v>10.39</v>
      </c>
    </row>
    <row r="84" spans="1:21" x14ac:dyDescent="0.3">
      <c r="B84" s="47" t="s">
        <v>76</v>
      </c>
      <c r="C84" s="42">
        <f>MIN(C79:C83)</f>
        <v>6.919999999999999</v>
      </c>
      <c r="D84" s="42">
        <f t="shared" ref="D84:R84" si="41">MIN(D79:D83)</f>
        <v>6.41</v>
      </c>
      <c r="E84" s="42">
        <f t="shared" si="41"/>
        <v>2.1587229950969955</v>
      </c>
      <c r="F84" s="42">
        <f t="shared" si="41"/>
        <v>1.5936666666666666</v>
      </c>
      <c r="G84" s="42">
        <f t="shared" si="41"/>
        <v>29.140764112318976</v>
      </c>
      <c r="H84" s="42">
        <f t="shared" si="41"/>
        <v>2.2312907427395943</v>
      </c>
      <c r="I84" s="42">
        <f t="shared" si="41"/>
        <v>0.87382385121765294</v>
      </c>
      <c r="J84" s="42">
        <f t="shared" si="41"/>
        <v>0.65993255671009254</v>
      </c>
      <c r="K84" s="42">
        <f t="shared" si="41"/>
        <v>4.198316416973622</v>
      </c>
      <c r="L84" s="42">
        <f t="shared" si="41"/>
        <v>3.0154256627005926</v>
      </c>
      <c r="M84" s="42">
        <f t="shared" si="41"/>
        <v>5.9777744887863324</v>
      </c>
      <c r="N84" s="42">
        <f t="shared" si="41"/>
        <v>23.378933779667207</v>
      </c>
      <c r="O84" s="42">
        <f t="shared" si="41"/>
        <v>14.490002451634844</v>
      </c>
      <c r="P84" s="42">
        <f t="shared" si="41"/>
        <v>32.329919900583675</v>
      </c>
      <c r="Q84" s="42">
        <f t="shared" si="41"/>
        <v>6.24</v>
      </c>
      <c r="R84" s="42">
        <f t="shared" si="41"/>
        <v>10.39</v>
      </c>
    </row>
    <row r="85" spans="1:21" x14ac:dyDescent="0.3">
      <c r="B85" s="47" t="s">
        <v>77</v>
      </c>
      <c r="C85" s="42">
        <f>MAX(C79:C83)</f>
        <v>53.77</v>
      </c>
      <c r="D85" s="42">
        <f t="shared" ref="D85:R85" si="42">MAX(D79:D83)</f>
        <v>27.488509795510964</v>
      </c>
      <c r="E85" s="42">
        <f t="shared" si="42"/>
        <v>5.1392677917970389</v>
      </c>
      <c r="F85" s="42">
        <f t="shared" si="42"/>
        <v>64.289427300429253</v>
      </c>
      <c r="G85" s="42">
        <f t="shared" si="42"/>
        <v>216.84373616945498</v>
      </c>
      <c r="H85" s="42">
        <f t="shared" si="42"/>
        <v>43.442640147075359</v>
      </c>
      <c r="I85" s="42">
        <f t="shared" si="42"/>
        <v>429.60666666666663</v>
      </c>
      <c r="J85" s="42">
        <f t="shared" si="42"/>
        <v>8.1829299877303505</v>
      </c>
      <c r="K85" s="42">
        <f t="shared" si="42"/>
        <v>61.021416302514126</v>
      </c>
      <c r="L85" s="42">
        <f t="shared" si="42"/>
        <v>185.9256054837025</v>
      </c>
      <c r="M85" s="42">
        <f t="shared" si="42"/>
        <v>134.60717861790954</v>
      </c>
      <c r="N85" s="42">
        <f t="shared" si="42"/>
        <v>95.639517237065647</v>
      </c>
      <c r="O85" s="42">
        <f t="shared" si="42"/>
        <v>2224.1597734717034</v>
      </c>
      <c r="P85" s="42">
        <f t="shared" si="42"/>
        <v>1077.1965558065972</v>
      </c>
      <c r="Q85" s="42">
        <f t="shared" si="42"/>
        <v>22.479586699822484</v>
      </c>
      <c r="R85" s="42">
        <f t="shared" si="42"/>
        <v>917.58937235808412</v>
      </c>
    </row>
    <row r="86" spans="1:21" x14ac:dyDescent="0.3">
      <c r="B86" s="47" t="s">
        <v>61</v>
      </c>
      <c r="C86" s="42">
        <f t="shared" ref="C86:I86" si="43">AVERAGE(C79:C83)</f>
        <v>36.532186021233869</v>
      </c>
      <c r="D86" s="42">
        <f t="shared" si="43"/>
        <v>11.981491744631958</v>
      </c>
      <c r="E86" s="42">
        <f t="shared" si="43"/>
        <v>3.2344926460465411</v>
      </c>
      <c r="F86" s="42">
        <f t="shared" si="43"/>
        <v>31.582422097534256</v>
      </c>
      <c r="G86" s="42">
        <f t="shared" si="43"/>
        <v>102.60262031965343</v>
      </c>
      <c r="H86" s="42">
        <f t="shared" si="43"/>
        <v>18.58174494181479</v>
      </c>
      <c r="I86" s="42">
        <f t="shared" si="43"/>
        <v>178.28804741585813</v>
      </c>
      <c r="J86" s="42">
        <f t="shared" ref="J86:R86" si="44">AVERAGE(J79:J83)</f>
        <v>3.6082595795284802</v>
      </c>
      <c r="K86" s="42">
        <f t="shared" si="44"/>
        <v>31.722282719962209</v>
      </c>
      <c r="L86" s="42">
        <f t="shared" si="44"/>
        <v>110.89352976867795</v>
      </c>
      <c r="M86" s="42">
        <f t="shared" si="44"/>
        <v>47.526484850830187</v>
      </c>
      <c r="N86" s="42">
        <f t="shared" si="44"/>
        <v>62.836913973190654</v>
      </c>
      <c r="O86" s="42">
        <f t="shared" si="44"/>
        <v>1001.5238177961443</v>
      </c>
      <c r="P86" s="42">
        <f t="shared" si="44"/>
        <v>441.04307715124412</v>
      </c>
      <c r="Q86" s="42">
        <f t="shared" si="44"/>
        <v>12.710723651172119</v>
      </c>
      <c r="R86" s="42">
        <f t="shared" si="44"/>
        <v>515.68795250301434</v>
      </c>
    </row>
    <row r="87" spans="1:21" x14ac:dyDescent="0.3">
      <c r="B87" s="47" t="s">
        <v>79</v>
      </c>
      <c r="C87" s="42">
        <f>MEDIAN(C79:C83)</f>
        <v>38.605430583361056</v>
      </c>
      <c r="D87" s="42">
        <f t="shared" ref="D87:R87" si="45">MEDIAN(D79:D83)</f>
        <v>9.2757162561102184</v>
      </c>
      <c r="E87" s="42">
        <f t="shared" si="45"/>
        <v>3.0068871181967443</v>
      </c>
      <c r="F87" s="42">
        <f t="shared" si="45"/>
        <v>26.563333333333333</v>
      </c>
      <c r="G87" s="42">
        <f t="shared" si="45"/>
        <v>30.645545808054152</v>
      </c>
      <c r="H87" s="42">
        <f t="shared" si="45"/>
        <v>5.2959185482349715</v>
      </c>
      <c r="I87" s="42">
        <f t="shared" si="45"/>
        <v>38.936666666666667</v>
      </c>
      <c r="J87" s="42">
        <f t="shared" si="45"/>
        <v>0.78191005552178783</v>
      </c>
      <c r="K87" s="42">
        <f t="shared" si="45"/>
        <v>34.094524811166217</v>
      </c>
      <c r="L87" s="42">
        <f t="shared" si="45"/>
        <v>175.73309753151221</v>
      </c>
      <c r="M87" s="42">
        <f t="shared" si="45"/>
        <v>7.1667463035975141</v>
      </c>
      <c r="N87" s="42">
        <f t="shared" si="45"/>
        <v>77.831444249618727</v>
      </c>
      <c r="O87" s="42">
        <f t="shared" si="45"/>
        <v>1281.1548581388547</v>
      </c>
      <c r="P87" s="42">
        <f t="shared" si="45"/>
        <v>50.150161778904383</v>
      </c>
      <c r="Q87" s="42">
        <f t="shared" si="45"/>
        <v>14.114280893701451</v>
      </c>
      <c r="R87" s="42">
        <f t="shared" si="45"/>
        <v>742.27769459663273</v>
      </c>
    </row>
    <row r="88" spans="1:21" x14ac:dyDescent="0.3">
      <c r="B88" s="47" t="s">
        <v>68</v>
      </c>
      <c r="C88" s="42">
        <f t="shared" ref="C88:I88" si="46">STDEV(C79:C83)</f>
        <v>18.204432557655473</v>
      </c>
      <c r="D88" s="42">
        <f t="shared" si="46"/>
        <v>8.8089115281446517</v>
      </c>
      <c r="E88" s="42">
        <f t="shared" si="46"/>
        <v>1.1227985863910028</v>
      </c>
      <c r="F88" s="42">
        <f t="shared" si="46"/>
        <v>25.968741938550757</v>
      </c>
      <c r="G88" s="42">
        <f t="shared" si="46"/>
        <v>99.822415848631536</v>
      </c>
      <c r="H88" s="42">
        <f t="shared" si="46"/>
        <v>20.801285968258885</v>
      </c>
      <c r="I88" s="42">
        <f t="shared" si="46"/>
        <v>226.11283551139104</v>
      </c>
      <c r="J88" s="42">
        <f t="shared" ref="J88:R88" si="47">STDEV(J79:J83)</f>
        <v>3.936703311249679</v>
      </c>
      <c r="K88" s="42">
        <f t="shared" si="47"/>
        <v>26.432269449598977</v>
      </c>
      <c r="L88" s="42">
        <f t="shared" si="47"/>
        <v>96.073830433462504</v>
      </c>
      <c r="M88" s="42">
        <f t="shared" si="47"/>
        <v>58.910531226346613</v>
      </c>
      <c r="N88" s="42">
        <f t="shared" si="47"/>
        <v>34.911659995838541</v>
      </c>
      <c r="O88" s="42">
        <f t="shared" si="47"/>
        <v>967.05061198521969</v>
      </c>
      <c r="P88" s="42">
        <f t="shared" si="47"/>
        <v>547.1466290242472</v>
      </c>
      <c r="Q88" s="42">
        <f t="shared" si="47"/>
        <v>6.7191174754869101</v>
      </c>
      <c r="R88" s="42">
        <f t="shared" si="47"/>
        <v>463.81750382810594</v>
      </c>
    </row>
    <row r="91" spans="1:21" x14ac:dyDescent="0.3">
      <c r="A91" s="39"/>
      <c r="B91" s="39"/>
      <c r="C91" s="49" t="s">
        <v>1</v>
      </c>
      <c r="D91" s="46" t="s">
        <v>14</v>
      </c>
      <c r="E91" s="46" t="s">
        <v>9</v>
      </c>
      <c r="F91" s="46" t="s">
        <v>3</v>
      </c>
      <c r="G91" s="46" t="s">
        <v>4</v>
      </c>
      <c r="H91" s="46" t="s">
        <v>10</v>
      </c>
      <c r="I91" s="46" t="s">
        <v>2</v>
      </c>
      <c r="J91" s="46" t="s">
        <v>5</v>
      </c>
      <c r="K91" s="46" t="s">
        <v>6</v>
      </c>
      <c r="L91" s="46" t="s">
        <v>7</v>
      </c>
      <c r="M91" s="46" t="s">
        <v>8</v>
      </c>
      <c r="N91" s="46" t="s">
        <v>11</v>
      </c>
      <c r="O91" s="46" t="s">
        <v>12</v>
      </c>
      <c r="P91" s="46" t="s">
        <v>13</v>
      </c>
      <c r="Q91" s="46" t="s">
        <v>15</v>
      </c>
      <c r="R91" s="46" t="s">
        <v>16</v>
      </c>
      <c r="U91" s="1" t="s">
        <v>46</v>
      </c>
    </row>
    <row r="92" spans="1:21" x14ac:dyDescent="0.3">
      <c r="A92" s="46" t="s">
        <v>80</v>
      </c>
      <c r="B92" s="46" t="s">
        <v>76</v>
      </c>
      <c r="C92" s="48">
        <v>6.3949999999999996</v>
      </c>
      <c r="D92" s="48">
        <v>4.5879925660835639</v>
      </c>
      <c r="E92" s="48">
        <v>0.75167567734288532</v>
      </c>
      <c r="F92" s="48">
        <v>0.65766666666666662</v>
      </c>
      <c r="G92" s="48">
        <v>16.031140870081245</v>
      </c>
      <c r="H92" s="48">
        <v>2.1998925963770324</v>
      </c>
      <c r="I92" s="48">
        <v>0.9417007234972532</v>
      </c>
      <c r="J92" s="48">
        <v>0.87658550900318644</v>
      </c>
      <c r="K92" s="48">
        <v>1.9839725474818937</v>
      </c>
      <c r="L92" s="48">
        <v>2.2407316885592343</v>
      </c>
      <c r="M92" s="48">
        <v>3.1074128193229091</v>
      </c>
      <c r="N92" s="48">
        <v>8.847595994556368</v>
      </c>
      <c r="O92" s="48">
        <v>16.94571418944507</v>
      </c>
      <c r="P92" s="48">
        <v>8.5834830332563108</v>
      </c>
      <c r="Q92" s="48">
        <v>5.24</v>
      </c>
      <c r="R92" s="48">
        <v>6.84</v>
      </c>
    </row>
    <row r="93" spans="1:21" x14ac:dyDescent="0.3">
      <c r="A93" s="46"/>
      <c r="B93" s="46" t="s">
        <v>77</v>
      </c>
      <c r="C93" s="48">
        <v>52.103333333333332</v>
      </c>
      <c r="D93" s="48">
        <v>12.809496428967719</v>
      </c>
      <c r="E93" s="48">
        <v>4.8083435053748156</v>
      </c>
      <c r="F93" s="48">
        <v>53.196491026944969</v>
      </c>
      <c r="G93" s="48">
        <v>162.40764784574822</v>
      </c>
      <c r="H93" s="48">
        <v>27.602511907020087</v>
      </c>
      <c r="I93" s="48">
        <v>472.67333333333335</v>
      </c>
      <c r="J93" s="48">
        <v>7.2948716284058204</v>
      </c>
      <c r="K93" s="48">
        <v>44.37717840442744</v>
      </c>
      <c r="L93" s="48">
        <v>142.50709898335424</v>
      </c>
      <c r="M93" s="48">
        <v>110.96136391646661</v>
      </c>
      <c r="N93" s="48">
        <v>111.78363647229443</v>
      </c>
      <c r="O93" s="48">
        <v>787.09632191286153</v>
      </c>
      <c r="P93" s="48">
        <v>842.06525108883818</v>
      </c>
      <c r="Q93" s="48">
        <v>29.193785710306134</v>
      </c>
      <c r="R93" s="48">
        <v>829.6142628996131</v>
      </c>
    </row>
    <row r="94" spans="1:21" x14ac:dyDescent="0.3">
      <c r="A94" s="46"/>
      <c r="B94" s="46" t="s">
        <v>78</v>
      </c>
      <c r="C94" s="48">
        <v>28.50760561644298</v>
      </c>
      <c r="D94" s="48">
        <v>6.651516321141739</v>
      </c>
      <c r="E94" s="48">
        <v>2.0626320994494103</v>
      </c>
      <c r="F94" s="48">
        <v>23.060138079641924</v>
      </c>
      <c r="G94" s="48">
        <v>71.777135635783196</v>
      </c>
      <c r="H94" s="48">
        <v>11.881154862999253</v>
      </c>
      <c r="I94" s="48">
        <v>186.42032763068502</v>
      </c>
      <c r="J94" s="48">
        <v>3.0704904571472982</v>
      </c>
      <c r="K94" s="48">
        <v>17.688563199298457</v>
      </c>
      <c r="L94" s="48">
        <v>79.683650324694469</v>
      </c>
      <c r="M94" s="48">
        <v>43.922918127935496</v>
      </c>
      <c r="N94" s="48">
        <v>59.541066924091965</v>
      </c>
      <c r="O94" s="48">
        <v>365.42000554154362</v>
      </c>
      <c r="P94" s="48">
        <v>328.05843319044652</v>
      </c>
      <c r="Q94" s="48">
        <v>14.5479407752612</v>
      </c>
      <c r="R94" s="48">
        <v>418.70847642887372</v>
      </c>
    </row>
    <row r="95" spans="1:21" x14ac:dyDescent="0.3">
      <c r="A95" s="46"/>
      <c r="B95" s="46" t="s">
        <v>79</v>
      </c>
      <c r="C95" s="48">
        <v>21.219599946929812</v>
      </c>
      <c r="D95" s="48">
        <v>5.41</v>
      </c>
      <c r="E95" s="48">
        <v>1.7438750522802309</v>
      </c>
      <c r="F95" s="48">
        <v>11.506666666666668</v>
      </c>
      <c r="G95" s="48">
        <v>21.264662287174716</v>
      </c>
      <c r="H95" s="48">
        <v>3.3556623442640046</v>
      </c>
      <c r="I95" s="48">
        <v>41.425999999999995</v>
      </c>
      <c r="J95" s="48">
        <v>1.4669184518075011</v>
      </c>
      <c r="K95" s="48">
        <v>15.720587752224512</v>
      </c>
      <c r="L95" s="48">
        <v>123.56026970010346</v>
      </c>
      <c r="M95" s="48">
        <v>6.4927877647442838</v>
      </c>
      <c r="N95" s="48">
        <v>65.371671426404163</v>
      </c>
      <c r="O95" s="48">
        <v>492.73176867495329</v>
      </c>
      <c r="P95" s="48">
        <v>23.704175766257361</v>
      </c>
      <c r="Q95" s="48">
        <v>11.539684416923889</v>
      </c>
      <c r="R95" s="48">
        <v>551.79938633449274</v>
      </c>
    </row>
    <row r="96" spans="1:21" x14ac:dyDescent="0.3">
      <c r="A96" s="46"/>
      <c r="B96" s="46" t="s">
        <v>68</v>
      </c>
      <c r="C96" s="48">
        <v>19.319001927518201</v>
      </c>
      <c r="D96" s="48">
        <v>3.480752004225673</v>
      </c>
      <c r="E96" s="48">
        <v>1.6377681594576048</v>
      </c>
      <c r="F96" s="48">
        <v>23.102918920939562</v>
      </c>
      <c r="G96" s="48">
        <v>72.185304632070384</v>
      </c>
      <c r="H96" s="48">
        <v>12.353227155895421</v>
      </c>
      <c r="I96" s="48">
        <v>236.84620135725223</v>
      </c>
      <c r="J96" s="48">
        <v>2.7780998171453475</v>
      </c>
      <c r="K96" s="48">
        <v>17.04369140849818</v>
      </c>
      <c r="L96" s="48">
        <v>70.493672363207978</v>
      </c>
      <c r="M96" s="48">
        <v>53.441084239042368</v>
      </c>
      <c r="N96" s="48">
        <v>47.588549467000838</v>
      </c>
      <c r="O96" s="48">
        <v>336.47597349582537</v>
      </c>
      <c r="P96" s="48">
        <v>429.90013260762726</v>
      </c>
      <c r="Q96" s="48">
        <v>10.411400609992207</v>
      </c>
      <c r="R96" s="48">
        <v>383.21393437510233</v>
      </c>
    </row>
    <row r="97" spans="1:18" x14ac:dyDescent="0.3">
      <c r="A97" s="46"/>
      <c r="B97" s="46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</row>
    <row r="98" spans="1:18" x14ac:dyDescent="0.3">
      <c r="A98" s="46" t="s">
        <v>81</v>
      </c>
      <c r="B98" s="46" t="s">
        <v>76</v>
      </c>
      <c r="C98" s="48">
        <v>4.7133333333333338</v>
      </c>
      <c r="D98" s="48">
        <v>5.2889706850945588</v>
      </c>
      <c r="E98" s="48">
        <v>0.87227361693124394</v>
      </c>
      <c r="F98" s="48">
        <v>0.158</v>
      </c>
      <c r="G98" s="48">
        <v>97.027648553632787</v>
      </c>
      <c r="H98" s="48">
        <v>3.2900671125128835</v>
      </c>
      <c r="I98" s="48">
        <v>0.56469357940322262</v>
      </c>
      <c r="J98" s="48">
        <v>0.49973512919590979</v>
      </c>
      <c r="K98" s="48">
        <v>3.2546377518659479</v>
      </c>
      <c r="L98" s="48">
        <v>4.0343551309302246</v>
      </c>
      <c r="M98" s="48">
        <v>3.0642803958868599</v>
      </c>
      <c r="N98" s="48">
        <v>10.915508132191563</v>
      </c>
      <c r="O98" s="48">
        <v>9.1448012968947587</v>
      </c>
      <c r="P98" s="48">
        <v>5.288025747359054</v>
      </c>
      <c r="Q98" s="48">
        <v>8.281111074097895</v>
      </c>
      <c r="R98" s="48">
        <v>6.66</v>
      </c>
    </row>
    <row r="99" spans="1:18" x14ac:dyDescent="0.3">
      <c r="A99" s="46"/>
      <c r="B99" s="46" t="s">
        <v>77</v>
      </c>
      <c r="C99" s="48">
        <v>180.27312984271182</v>
      </c>
      <c r="D99" s="48">
        <v>13.928761215495777</v>
      </c>
      <c r="E99" s="48">
        <v>4.6139287887139382</v>
      </c>
      <c r="F99" s="48">
        <v>22.46262065673951</v>
      </c>
      <c r="G99" s="48">
        <v>135.61985624775119</v>
      </c>
      <c r="H99" s="48">
        <v>13.048425133601926</v>
      </c>
      <c r="I99" s="48">
        <v>276.05</v>
      </c>
      <c r="J99" s="48">
        <v>5.2737828482045757</v>
      </c>
      <c r="K99" s="48">
        <v>30.763940766388867</v>
      </c>
      <c r="L99" s="48">
        <v>119.76660157379527</v>
      </c>
      <c r="M99" s="48">
        <v>223.9283776087866</v>
      </c>
      <c r="N99" s="48">
        <v>253.51872607145114</v>
      </c>
      <c r="O99" s="48">
        <v>791.24475935196176</v>
      </c>
      <c r="P99" s="48">
        <v>479.90712425739594</v>
      </c>
      <c r="Q99" s="48">
        <v>15.065497963260507</v>
      </c>
      <c r="R99" s="48">
        <v>315.4685159788321</v>
      </c>
    </row>
    <row r="100" spans="1:18" x14ac:dyDescent="0.3">
      <c r="A100" s="46"/>
      <c r="B100" s="46" t="s">
        <v>78</v>
      </c>
      <c r="C100" s="48">
        <v>81.447561734691334</v>
      </c>
      <c r="D100" s="48">
        <v>9.9662669218663122</v>
      </c>
      <c r="E100" s="48">
        <v>2.4476120762426499</v>
      </c>
      <c r="F100" s="48">
        <v>9.809196239814348</v>
      </c>
      <c r="G100" s="48">
        <v>113.60627575583655</v>
      </c>
      <c r="H100" s="48">
        <v>7.2191046705361561</v>
      </c>
      <c r="I100" s="48">
        <v>115.15646841274361</v>
      </c>
      <c r="J100" s="48">
        <v>2.1225538713230105</v>
      </c>
      <c r="K100" s="48">
        <v>12.579464135900722</v>
      </c>
      <c r="L100" s="48">
        <v>68.460265798198932</v>
      </c>
      <c r="M100" s="48">
        <v>84.585237842439568</v>
      </c>
      <c r="N100" s="48">
        <v>133.23137426468821</v>
      </c>
      <c r="O100" s="48">
        <v>380.02746082982941</v>
      </c>
      <c r="P100" s="48">
        <v>157.94729326224757</v>
      </c>
      <c r="Q100" s="48">
        <v>11.088203699475933</v>
      </c>
      <c r="R100" s="48">
        <v>174.61315602709666</v>
      </c>
    </row>
    <row r="101" spans="1:18" x14ac:dyDescent="0.3">
      <c r="A101" s="46"/>
      <c r="B101" s="46" t="s">
        <v>79</v>
      </c>
      <c r="C101" s="48">
        <v>38.340000000000003</v>
      </c>
      <c r="D101" s="48">
        <v>11.285</v>
      </c>
      <c r="E101" s="48">
        <v>2.3169931050105763</v>
      </c>
      <c r="F101" s="48">
        <v>3.7933333333333334</v>
      </c>
      <c r="G101" s="48">
        <v>109.45790100726279</v>
      </c>
      <c r="H101" s="48">
        <v>4.1672509916260809</v>
      </c>
      <c r="I101" s="48">
        <v>29.473333333333333</v>
      </c>
      <c r="J101" s="48">
        <v>0.64331584347691606</v>
      </c>
      <c r="K101" s="48">
        <v>10.813702915889692</v>
      </c>
      <c r="L101" s="48">
        <v>94.432174450956069</v>
      </c>
      <c r="M101" s="48">
        <v>4.0500322790387129</v>
      </c>
      <c r="N101" s="48">
        <v>184.24549699480784</v>
      </c>
      <c r="O101" s="48">
        <v>542.14861492446539</v>
      </c>
      <c r="P101" s="48">
        <v>16.670307464334901</v>
      </c>
      <c r="Q101" s="48">
        <v>10.445</v>
      </c>
      <c r="R101" s="48">
        <v>229.67007150853289</v>
      </c>
    </row>
    <row r="102" spans="1:18" x14ac:dyDescent="0.3">
      <c r="A102" s="46"/>
      <c r="B102" s="46" t="s">
        <v>68</v>
      </c>
      <c r="C102" s="48">
        <v>77.016378202379897</v>
      </c>
      <c r="D102" s="48">
        <v>3.5920036227027934</v>
      </c>
      <c r="E102" s="48">
        <v>1.5775101758169503</v>
      </c>
      <c r="F102" s="48">
        <v>10.255349205883091</v>
      </c>
      <c r="G102" s="48">
        <v>17.103087735312602</v>
      </c>
      <c r="H102" s="48">
        <v>4.7169216577175384</v>
      </c>
      <c r="I102" s="48">
        <v>144.12872773926966</v>
      </c>
      <c r="J102" s="48">
        <v>2.1868840730646704</v>
      </c>
      <c r="K102" s="48">
        <v>10.640195490794392</v>
      </c>
      <c r="L102" s="48">
        <v>59.041263181849111</v>
      </c>
      <c r="M102" s="48">
        <v>111.56742140926174</v>
      </c>
      <c r="N102" s="48">
        <v>111.75179314619473</v>
      </c>
      <c r="O102" s="48">
        <v>351.7438536550589</v>
      </c>
      <c r="P102" s="48">
        <v>215.07271444463493</v>
      </c>
      <c r="Q102" s="48">
        <v>2.5346211340827742</v>
      </c>
      <c r="R102" s="48">
        <v>155.23756384822022</v>
      </c>
    </row>
    <row r="103" spans="1:18" x14ac:dyDescent="0.3">
      <c r="A103" s="46"/>
      <c r="B103" s="46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</row>
    <row r="104" spans="1:18" x14ac:dyDescent="0.3">
      <c r="A104" s="46" t="s">
        <v>82</v>
      </c>
      <c r="B104" s="46" t="s">
        <v>76</v>
      </c>
      <c r="C104" s="48">
        <v>4.8503333333333343</v>
      </c>
      <c r="D104" s="48">
        <v>6.5350000000000001</v>
      </c>
      <c r="E104" s="48">
        <v>0.95062247265382704</v>
      </c>
      <c r="F104" s="48">
        <v>1.2873333333333334</v>
      </c>
      <c r="G104" s="48">
        <v>21.020297149914008</v>
      </c>
      <c r="H104" s="48">
        <v>4.0778897338846001</v>
      </c>
      <c r="I104" s="48">
        <v>1.5612196335299058</v>
      </c>
      <c r="J104" s="48">
        <v>1.4988455748272045</v>
      </c>
      <c r="K104" s="48">
        <v>2.5263840712809547</v>
      </c>
      <c r="L104" s="48">
        <v>5.6012811987416606</v>
      </c>
      <c r="M104" s="48">
        <v>15.764296909218732</v>
      </c>
      <c r="N104" s="48">
        <v>34.135005238852919</v>
      </c>
      <c r="O104" s="48">
        <v>38.69627296334739</v>
      </c>
      <c r="P104" s="48">
        <v>22.052491783640413</v>
      </c>
      <c r="Q104" s="48">
        <v>6.415</v>
      </c>
      <c r="R104" s="48">
        <v>8.125</v>
      </c>
    </row>
    <row r="105" spans="1:18" x14ac:dyDescent="0.3">
      <c r="A105" s="46"/>
      <c r="B105" s="46" t="s">
        <v>77</v>
      </c>
      <c r="C105" s="48">
        <v>50.126666666666665</v>
      </c>
      <c r="D105" s="48">
        <v>35.415206646297015</v>
      </c>
      <c r="E105" s="48">
        <v>3.1151940321632474</v>
      </c>
      <c r="F105" s="48">
        <v>90.045781483167744</v>
      </c>
      <c r="G105" s="48">
        <v>258.00517731754644</v>
      </c>
      <c r="H105" s="48">
        <v>44.700062494413217</v>
      </c>
      <c r="I105" s="48">
        <v>305.32</v>
      </c>
      <c r="J105" s="48">
        <v>40.186574175903608</v>
      </c>
      <c r="K105" s="48">
        <v>81.078096900524073</v>
      </c>
      <c r="L105" s="48">
        <v>252.15405204478893</v>
      </c>
      <c r="M105" s="48">
        <v>621.19581244707229</v>
      </c>
      <c r="N105" s="48">
        <v>343.87869308531822</v>
      </c>
      <c r="O105" s="48">
        <v>1179.3370641940667</v>
      </c>
      <c r="P105" s="48">
        <v>2187.7305236701386</v>
      </c>
      <c r="Q105" s="48">
        <v>53.908100016854164</v>
      </c>
      <c r="R105" s="48">
        <v>1312.5267772794134</v>
      </c>
    </row>
    <row r="106" spans="1:18" x14ac:dyDescent="0.3">
      <c r="A106" s="46"/>
      <c r="B106" s="46" t="s">
        <v>78</v>
      </c>
      <c r="C106" s="48">
        <v>33.409316215677606</v>
      </c>
      <c r="D106" s="48">
        <v>15.725790076431068</v>
      </c>
      <c r="E106" s="48">
        <v>2.0882257653431386</v>
      </c>
      <c r="F106" s="48">
        <v>38.70597651168768</v>
      </c>
      <c r="G106" s="48">
        <v>117.72786673173782</v>
      </c>
      <c r="H106" s="48">
        <v>20.846620423230899</v>
      </c>
      <c r="I106" s="48">
        <v>123.76580672480108</v>
      </c>
      <c r="J106" s="48">
        <v>16.5773841956076</v>
      </c>
      <c r="K106" s="48">
        <v>37.864558734890139</v>
      </c>
      <c r="L106" s="48">
        <v>142.03287401355851</v>
      </c>
      <c r="M106" s="48">
        <v>246.26705291802332</v>
      </c>
      <c r="N106" s="48">
        <v>188.78686080639312</v>
      </c>
      <c r="O106" s="48">
        <v>663.62780003464388</v>
      </c>
      <c r="P106" s="48">
        <v>667.33369198464425</v>
      </c>
      <c r="Q106" s="48">
        <v>29.039916854390061</v>
      </c>
      <c r="R106" s="48">
        <v>725.9523593886089</v>
      </c>
    </row>
    <row r="107" spans="1:18" x14ac:dyDescent="0.3">
      <c r="A107" s="46"/>
      <c r="B107" s="46" t="s">
        <v>79</v>
      </c>
      <c r="C107" s="48">
        <v>36.647449541241031</v>
      </c>
      <c r="D107" s="48">
        <v>13.272611919608092</v>
      </c>
      <c r="E107" s="48">
        <v>2.58005216240289</v>
      </c>
      <c r="F107" s="48">
        <v>12.023333333333335</v>
      </c>
      <c r="G107" s="48">
        <v>35.202999155243987</v>
      </c>
      <c r="H107" s="48">
        <v>8.5728619441704197</v>
      </c>
      <c r="I107" s="48">
        <v>28.826000000000004</v>
      </c>
      <c r="J107" s="48">
        <v>1.745516393470572</v>
      </c>
      <c r="K107" s="48">
        <v>45.923576049275759</v>
      </c>
      <c r="L107" s="48">
        <v>221.09735981188931</v>
      </c>
      <c r="M107" s="48">
        <v>31.448582386786047</v>
      </c>
      <c r="N107" s="48">
        <v>263.71263105628964</v>
      </c>
      <c r="O107" s="48">
        <v>965.44302394086833</v>
      </c>
      <c r="P107" s="48">
        <v>46.076271453151037</v>
      </c>
      <c r="Q107" s="48">
        <v>37.831369827948443</v>
      </c>
      <c r="R107" s="48">
        <v>1101.9998564726657</v>
      </c>
    </row>
    <row r="108" spans="1:18" x14ac:dyDescent="0.3">
      <c r="A108" s="46"/>
      <c r="B108" s="46" t="s">
        <v>68</v>
      </c>
      <c r="C108" s="48">
        <v>18.294963607135362</v>
      </c>
      <c r="D108" s="48">
        <v>11.850047585244853</v>
      </c>
      <c r="E108" s="48">
        <v>0.97692799638638328</v>
      </c>
      <c r="F108" s="48">
        <v>42.64172175750484</v>
      </c>
      <c r="G108" s="48">
        <v>121.89938554398137</v>
      </c>
      <c r="H108" s="48">
        <v>19.706270356094652</v>
      </c>
      <c r="I108" s="48">
        <v>155.48259956892952</v>
      </c>
      <c r="J108" s="48">
        <v>20.510772983734427</v>
      </c>
      <c r="K108" s="48">
        <v>34.352230744233538</v>
      </c>
      <c r="L108" s="48">
        <v>124.30363030449476</v>
      </c>
      <c r="M108" s="48">
        <v>304.92393318410956</v>
      </c>
      <c r="N108" s="48">
        <v>144.20366707621139</v>
      </c>
      <c r="O108" s="48">
        <v>542.9737339544846</v>
      </c>
      <c r="P108" s="48">
        <v>958.04129483289478</v>
      </c>
      <c r="Q108" s="48">
        <v>21.415429128763467</v>
      </c>
      <c r="R108" s="48">
        <v>658.85433276488789</v>
      </c>
    </row>
    <row r="109" spans="1:18" x14ac:dyDescent="0.3">
      <c r="A109" s="46"/>
      <c r="B109" s="46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</row>
    <row r="110" spans="1:18" x14ac:dyDescent="0.3">
      <c r="A110" s="46" t="s">
        <v>83</v>
      </c>
      <c r="B110" s="46" t="s">
        <v>76</v>
      </c>
      <c r="C110" s="48">
        <v>6.919999999999999</v>
      </c>
      <c r="D110" s="48">
        <v>6.41</v>
      </c>
      <c r="E110" s="48">
        <v>2.1587229950969955</v>
      </c>
      <c r="F110" s="48">
        <v>1.5936666666666666</v>
      </c>
      <c r="G110" s="48">
        <v>29.140764112318976</v>
      </c>
      <c r="H110" s="48">
        <v>2.2312907427395943</v>
      </c>
      <c r="I110" s="48">
        <v>0.87382385121765294</v>
      </c>
      <c r="J110" s="48">
        <v>0.65993255671009254</v>
      </c>
      <c r="K110" s="48">
        <v>4.198316416973622</v>
      </c>
      <c r="L110" s="48">
        <v>3.0154256627005926</v>
      </c>
      <c r="M110" s="48">
        <v>5.9777744887863324</v>
      </c>
      <c r="N110" s="48">
        <v>23.378933779667207</v>
      </c>
      <c r="O110" s="48">
        <v>14.490002451634844</v>
      </c>
      <c r="P110" s="48">
        <v>32.329919900583675</v>
      </c>
      <c r="Q110" s="48">
        <v>6.24</v>
      </c>
      <c r="R110" s="48">
        <v>10.39</v>
      </c>
    </row>
    <row r="111" spans="1:18" x14ac:dyDescent="0.3">
      <c r="A111" s="46"/>
      <c r="B111" s="46" t="s">
        <v>77</v>
      </c>
      <c r="C111" s="48">
        <v>53.77</v>
      </c>
      <c r="D111" s="48">
        <v>27.488509795510964</v>
      </c>
      <c r="E111" s="48">
        <v>5.1392677917970389</v>
      </c>
      <c r="F111" s="48">
        <v>64.289427300429253</v>
      </c>
      <c r="G111" s="48">
        <v>216.84373616945498</v>
      </c>
      <c r="H111" s="48">
        <v>43.442640147075359</v>
      </c>
      <c r="I111" s="48">
        <v>429.60666666666663</v>
      </c>
      <c r="J111" s="48">
        <v>8.1829299877303505</v>
      </c>
      <c r="K111" s="48">
        <v>61.021416302514126</v>
      </c>
      <c r="L111" s="48">
        <v>185.9256054837025</v>
      </c>
      <c r="M111" s="48">
        <v>134.60717861790954</v>
      </c>
      <c r="N111" s="48">
        <v>95.639517237065647</v>
      </c>
      <c r="O111" s="48">
        <v>2224.1597734717034</v>
      </c>
      <c r="P111" s="48">
        <v>1077.1965558065972</v>
      </c>
      <c r="Q111" s="48">
        <v>22.479586699822484</v>
      </c>
      <c r="R111" s="48">
        <v>917.58937235808412</v>
      </c>
    </row>
    <row r="112" spans="1:18" x14ac:dyDescent="0.3">
      <c r="A112" s="46"/>
      <c r="B112" s="46" t="s">
        <v>78</v>
      </c>
      <c r="C112" s="48">
        <v>36.532186021233869</v>
      </c>
      <c r="D112" s="48">
        <v>11.981491744631958</v>
      </c>
      <c r="E112" s="48">
        <v>3.2344926460465411</v>
      </c>
      <c r="F112" s="48">
        <v>31.582422097534256</v>
      </c>
      <c r="G112" s="48">
        <v>102.60262031965343</v>
      </c>
      <c r="H112" s="48">
        <v>18.58174494181479</v>
      </c>
      <c r="I112" s="48">
        <v>178.28804741585813</v>
      </c>
      <c r="J112" s="48">
        <v>3.6082595795284802</v>
      </c>
      <c r="K112" s="48">
        <v>31.722282719962209</v>
      </c>
      <c r="L112" s="48">
        <v>110.89352976867795</v>
      </c>
      <c r="M112" s="48">
        <v>47.526484850830187</v>
      </c>
      <c r="N112" s="48">
        <v>62.836913973190654</v>
      </c>
      <c r="O112" s="48">
        <v>1001.5238177961443</v>
      </c>
      <c r="P112" s="48">
        <v>441.04307715124412</v>
      </c>
      <c r="Q112" s="48">
        <v>12.710723651172119</v>
      </c>
      <c r="R112" s="48">
        <v>515.68795250301434</v>
      </c>
    </row>
    <row r="113" spans="1:18" x14ac:dyDescent="0.3">
      <c r="A113" s="46"/>
      <c r="B113" s="46" t="s">
        <v>79</v>
      </c>
      <c r="C113" s="48">
        <v>38.605430583361056</v>
      </c>
      <c r="D113" s="48">
        <v>9.2757162561102184</v>
      </c>
      <c r="E113" s="48">
        <v>3.0068871181967443</v>
      </c>
      <c r="F113" s="48">
        <v>26.563333333333333</v>
      </c>
      <c r="G113" s="48">
        <v>30.645545808054152</v>
      </c>
      <c r="H113" s="48">
        <v>5.2959185482349715</v>
      </c>
      <c r="I113" s="48">
        <v>38.936666666666667</v>
      </c>
      <c r="J113" s="48">
        <v>0.78191005552178783</v>
      </c>
      <c r="K113" s="48">
        <v>34.094524811166217</v>
      </c>
      <c r="L113" s="48">
        <v>175.73309753151221</v>
      </c>
      <c r="M113" s="48">
        <v>7.1667463035975141</v>
      </c>
      <c r="N113" s="48">
        <v>77.831444249618727</v>
      </c>
      <c r="O113" s="48">
        <v>1281.1548581388547</v>
      </c>
      <c r="P113" s="48">
        <v>50.150161778904383</v>
      </c>
      <c r="Q113" s="48">
        <v>14.114280893701451</v>
      </c>
      <c r="R113" s="48">
        <v>742.27769459663273</v>
      </c>
    </row>
    <row r="114" spans="1:18" x14ac:dyDescent="0.3">
      <c r="A114" s="46"/>
      <c r="B114" s="46" t="s">
        <v>68</v>
      </c>
      <c r="C114" s="48">
        <v>18.204432557655473</v>
      </c>
      <c r="D114" s="48">
        <v>8.8089115281446517</v>
      </c>
      <c r="E114" s="48">
        <v>1.1227985863910028</v>
      </c>
      <c r="F114" s="48">
        <v>25.968741938550757</v>
      </c>
      <c r="G114" s="48">
        <v>99.822415848631536</v>
      </c>
      <c r="H114" s="48">
        <v>20.801285968258885</v>
      </c>
      <c r="I114" s="48">
        <v>226.11283551139104</v>
      </c>
      <c r="J114" s="48">
        <v>3.936703311249679</v>
      </c>
      <c r="K114" s="48">
        <v>26.432269449598977</v>
      </c>
      <c r="L114" s="48">
        <v>96.073830433462504</v>
      </c>
      <c r="M114" s="48">
        <v>58.910531226346613</v>
      </c>
      <c r="N114" s="48">
        <v>34.911659995838541</v>
      </c>
      <c r="O114" s="48">
        <v>967.05061198521969</v>
      </c>
      <c r="P114" s="48">
        <v>547.1466290242472</v>
      </c>
      <c r="Q114" s="48">
        <v>6.7191174754869101</v>
      </c>
      <c r="R114" s="48">
        <v>463.81750382810594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E64DD-A72C-4DD2-9EDD-B68D342201C1}">
  <dimension ref="A1:X75"/>
  <sheetViews>
    <sheetView topLeftCell="C55" zoomScaleNormal="100" workbookViewId="0">
      <selection activeCell="K42" sqref="K42"/>
    </sheetView>
  </sheetViews>
  <sheetFormatPr defaultRowHeight="14.4" x14ac:dyDescent="0.3"/>
  <cols>
    <col min="1" max="1" width="18.77734375" customWidth="1"/>
    <col min="2" max="2" width="17.109375" customWidth="1"/>
    <col min="3" max="5" width="12.5546875" bestFit="1" customWidth="1"/>
    <col min="6" max="6" width="16.6640625" bestFit="1" customWidth="1"/>
    <col min="7" max="8" width="15.6640625" bestFit="1" customWidth="1"/>
    <col min="9" max="9" width="17.33203125" bestFit="1" customWidth="1"/>
    <col min="10" max="11" width="14.6640625" bestFit="1" customWidth="1"/>
  </cols>
  <sheetData>
    <row r="1" spans="1:24" x14ac:dyDescent="0.3">
      <c r="A1" t="s">
        <v>85</v>
      </c>
    </row>
    <row r="2" spans="1:24" x14ac:dyDescent="0.3">
      <c r="B2" s="49" t="s">
        <v>1</v>
      </c>
      <c r="C2" s="46" t="s">
        <v>14</v>
      </c>
      <c r="D2" s="46" t="s">
        <v>9</v>
      </c>
      <c r="E2" s="46" t="s">
        <v>3</v>
      </c>
      <c r="F2" s="46" t="s">
        <v>4</v>
      </c>
      <c r="G2" s="46" t="s">
        <v>10</v>
      </c>
      <c r="H2" s="46" t="s">
        <v>2</v>
      </c>
      <c r="I2" s="46" t="s">
        <v>5</v>
      </c>
      <c r="J2" s="46" t="s">
        <v>6</v>
      </c>
      <c r="K2" s="46" t="s">
        <v>7</v>
      </c>
      <c r="L2" s="46" t="s">
        <v>8</v>
      </c>
      <c r="M2" s="46" t="s">
        <v>11</v>
      </c>
      <c r="N2" s="46" t="s">
        <v>12</v>
      </c>
      <c r="O2" s="46" t="s">
        <v>13</v>
      </c>
      <c r="P2" s="46" t="s">
        <v>15</v>
      </c>
      <c r="Q2" s="46" t="s">
        <v>16</v>
      </c>
      <c r="R2" s="40" t="s">
        <v>86</v>
      </c>
      <c r="S2" s="40" t="s">
        <v>87</v>
      </c>
      <c r="T2" s="40" t="s">
        <v>88</v>
      </c>
      <c r="U2" s="40" t="s">
        <v>89</v>
      </c>
      <c r="V2" s="40" t="s">
        <v>90</v>
      </c>
      <c r="W2" s="40" t="s">
        <v>91</v>
      </c>
      <c r="X2" s="40" t="s">
        <v>92</v>
      </c>
    </row>
    <row r="3" spans="1:24" x14ac:dyDescent="0.3">
      <c r="A3" t="s">
        <v>72</v>
      </c>
      <c r="B3" s="48">
        <v>52.103333333333332</v>
      </c>
      <c r="C3" s="48">
        <v>12.809496428967719</v>
      </c>
      <c r="D3" s="48">
        <v>4.8083435053748156</v>
      </c>
      <c r="E3" s="48">
        <v>53.196491026944969</v>
      </c>
      <c r="F3" s="48">
        <v>162.40764784574822</v>
      </c>
      <c r="G3" s="48">
        <v>27.602511907020087</v>
      </c>
      <c r="H3" s="48">
        <v>472.67333333333335</v>
      </c>
      <c r="I3" s="48">
        <v>7.2948716284058204</v>
      </c>
      <c r="J3" s="48">
        <v>44.37717840442744</v>
      </c>
      <c r="K3" s="48">
        <v>142.50709898335424</v>
      </c>
      <c r="L3" s="48">
        <v>110.96136391646661</v>
      </c>
      <c r="M3" s="48">
        <v>111.78363647229443</v>
      </c>
      <c r="N3" s="48">
        <v>787.09632191286153</v>
      </c>
      <c r="O3" s="48">
        <v>842.06525108883818</v>
      </c>
      <c r="P3" s="48">
        <v>29.193785710306134</v>
      </c>
      <c r="Q3" s="48">
        <v>829.6142628996131</v>
      </c>
      <c r="R3" s="48">
        <v>49.28</v>
      </c>
      <c r="S3" s="48">
        <v>0.70499999999999996</v>
      </c>
      <c r="T3" s="48">
        <v>213.5</v>
      </c>
      <c r="U3" s="48">
        <v>101.9</v>
      </c>
      <c r="V3" s="48">
        <v>1984</v>
      </c>
      <c r="W3" s="48">
        <v>8.5449999999999999</v>
      </c>
      <c r="X3" s="48">
        <v>521.29999999999995</v>
      </c>
    </row>
    <row r="4" spans="1:24" x14ac:dyDescent="0.3">
      <c r="A4" t="s">
        <v>73</v>
      </c>
      <c r="B4" s="48">
        <v>180.27312984271182</v>
      </c>
      <c r="C4" s="48">
        <v>13.928761215495777</v>
      </c>
      <c r="D4" s="48">
        <v>4.6139287887139382</v>
      </c>
      <c r="E4" s="48">
        <v>22.46262065673951</v>
      </c>
      <c r="F4" s="48">
        <v>135.61985624775119</v>
      </c>
      <c r="G4" s="48">
        <v>13.048425133601926</v>
      </c>
      <c r="H4" s="48">
        <v>276.05</v>
      </c>
      <c r="I4" s="48">
        <v>5.2737828482045757</v>
      </c>
      <c r="J4" s="48">
        <v>30.763940766388867</v>
      </c>
      <c r="K4" s="48">
        <v>119.76660157379527</v>
      </c>
      <c r="L4" s="48">
        <v>223.9283776087866</v>
      </c>
      <c r="M4" s="48">
        <v>253.51872607145114</v>
      </c>
      <c r="N4" s="48">
        <v>791.24475935196176</v>
      </c>
      <c r="O4" s="48">
        <v>479.90712425739594</v>
      </c>
      <c r="P4" s="48">
        <v>15.065497963260507</v>
      </c>
      <c r="Q4" s="48">
        <v>315.4685159788321</v>
      </c>
      <c r="R4" s="48">
        <v>26.98</v>
      </c>
      <c r="S4" s="48">
        <v>0.71050000000000002</v>
      </c>
      <c r="T4" s="48">
        <v>212.2</v>
      </c>
      <c r="U4" s="48">
        <v>215.2</v>
      </c>
      <c r="V4" s="48">
        <v>235.3</v>
      </c>
      <c r="W4" s="48">
        <v>3.5859999999999999</v>
      </c>
      <c r="X4" s="48">
        <v>375</v>
      </c>
    </row>
    <row r="5" spans="1:24" x14ac:dyDescent="0.3">
      <c r="A5" t="s">
        <v>84</v>
      </c>
      <c r="B5" s="48">
        <v>50.126666666666665</v>
      </c>
      <c r="C5" s="48">
        <v>35.415206646297015</v>
      </c>
      <c r="D5" s="48">
        <v>3.1151940321632474</v>
      </c>
      <c r="E5" s="48">
        <v>90.045781483167744</v>
      </c>
      <c r="F5" s="48">
        <v>258.00517731754644</v>
      </c>
      <c r="G5" s="48">
        <v>44.700062494413217</v>
      </c>
      <c r="H5" s="48">
        <v>305.32</v>
      </c>
      <c r="I5" s="48">
        <v>40.186574175903608</v>
      </c>
      <c r="J5" s="48">
        <v>81.078096900524073</v>
      </c>
      <c r="K5" s="48">
        <v>252.15405204478893</v>
      </c>
      <c r="L5" s="48">
        <v>621.19581244707229</v>
      </c>
      <c r="M5" s="48">
        <v>343.87869308531822</v>
      </c>
      <c r="N5" s="48">
        <v>1179.3370641940667</v>
      </c>
      <c r="O5" s="48">
        <v>2187.7305236701386</v>
      </c>
      <c r="P5" s="48">
        <v>53.908100016854164</v>
      </c>
      <c r="Q5" s="48">
        <v>1312.5267772794134</v>
      </c>
      <c r="R5" s="48">
        <v>4.3529999999999998</v>
      </c>
      <c r="S5" s="48">
        <v>1.276</v>
      </c>
      <c r="T5" s="48">
        <v>20.37</v>
      </c>
      <c r="U5" s="48">
        <v>41.31</v>
      </c>
      <c r="V5" s="48">
        <v>39.590000000000003</v>
      </c>
      <c r="W5" s="48">
        <v>0.92849999999999999</v>
      </c>
      <c r="X5" s="48">
        <v>16.420000000000002</v>
      </c>
    </row>
    <row r="6" spans="1:24" x14ac:dyDescent="0.3">
      <c r="A6" t="s">
        <v>75</v>
      </c>
      <c r="B6" s="48">
        <v>53.77</v>
      </c>
      <c r="C6" s="48">
        <v>27.488509795510964</v>
      </c>
      <c r="D6" s="48">
        <v>5.1392677917970389</v>
      </c>
      <c r="E6" s="48">
        <v>64.289427300429253</v>
      </c>
      <c r="F6" s="48">
        <v>216.84373616945498</v>
      </c>
      <c r="G6" s="48">
        <v>43.442640147075359</v>
      </c>
      <c r="H6" s="48">
        <v>429.60666666666663</v>
      </c>
      <c r="I6" s="48">
        <v>8.1829299877303505</v>
      </c>
      <c r="J6" s="48">
        <v>61.021416302514126</v>
      </c>
      <c r="K6" s="48">
        <v>185.9256054837025</v>
      </c>
      <c r="L6" s="48">
        <v>134.60717861790954</v>
      </c>
      <c r="M6" s="48">
        <v>95.639517237065647</v>
      </c>
      <c r="N6" s="48">
        <v>2224.1597734717034</v>
      </c>
      <c r="O6" s="48">
        <v>1077.1965558065972</v>
      </c>
      <c r="P6" s="48">
        <v>22.479586699822484</v>
      </c>
      <c r="Q6" s="48">
        <v>917.58937235808412</v>
      </c>
      <c r="R6" s="48">
        <v>10.18</v>
      </c>
      <c r="S6" s="48">
        <v>0.76690000000000003</v>
      </c>
      <c r="T6" s="48">
        <v>81.510000000000005</v>
      </c>
      <c r="U6" s="48">
        <v>181.1</v>
      </c>
      <c r="V6" s="48">
        <v>371.7</v>
      </c>
      <c r="W6" s="48">
        <v>4.2670000000000003</v>
      </c>
      <c r="X6" s="48">
        <v>109</v>
      </c>
    </row>
    <row r="8" spans="1:24" x14ac:dyDescent="0.3">
      <c r="B8" s="51" t="s">
        <v>85</v>
      </c>
      <c r="C8" s="51" t="s">
        <v>72</v>
      </c>
      <c r="D8" s="51" t="s">
        <v>73</v>
      </c>
      <c r="E8" s="51" t="s">
        <v>84</v>
      </c>
      <c r="F8" s="51" t="s">
        <v>75</v>
      </c>
      <c r="G8" s="52" t="s">
        <v>93</v>
      </c>
      <c r="H8" s="52" t="s">
        <v>72</v>
      </c>
      <c r="I8" s="52" t="s">
        <v>73</v>
      </c>
      <c r="J8" s="52" t="s">
        <v>84</v>
      </c>
      <c r="K8" s="52" t="s">
        <v>75</v>
      </c>
    </row>
    <row r="9" spans="1:24" x14ac:dyDescent="0.3">
      <c r="B9" s="49" t="s">
        <v>1</v>
      </c>
      <c r="C9" s="48">
        <v>52.103333333333332</v>
      </c>
      <c r="D9" s="48">
        <v>180.27312984271182</v>
      </c>
      <c r="E9" s="48">
        <v>50.126666666666665</v>
      </c>
      <c r="F9" s="48">
        <v>53.77</v>
      </c>
      <c r="H9" s="54">
        <f>(C9*0.5)/3400</f>
        <v>7.6622549019607841E-3</v>
      </c>
      <c r="I9" s="54">
        <f t="shared" ref="I9:K24" si="0">(D9*0.5)/3400</f>
        <v>2.6510754388634091E-2</v>
      </c>
      <c r="J9" s="54">
        <f t="shared" si="0"/>
        <v>7.3715686274509803E-3</v>
      </c>
      <c r="K9" s="54">
        <f t="shared" si="0"/>
        <v>7.9073529411764713E-3</v>
      </c>
      <c r="L9" t="s">
        <v>126</v>
      </c>
    </row>
    <row r="10" spans="1:24" x14ac:dyDescent="0.3">
      <c r="B10" s="46" t="s">
        <v>14</v>
      </c>
      <c r="C10" s="48">
        <v>12.809496428967719</v>
      </c>
      <c r="D10" s="48">
        <v>13.928761215495777</v>
      </c>
      <c r="E10" s="48">
        <v>35.415206646297015</v>
      </c>
      <c r="F10" s="48">
        <v>27.488509795510964</v>
      </c>
      <c r="H10" s="54">
        <f t="shared" ref="H10:H24" si="1">(C10*0.5)/3400</f>
        <v>1.8837494748481941E-3</v>
      </c>
      <c r="I10" s="54">
        <f t="shared" si="0"/>
        <v>2.0483472375729082E-3</v>
      </c>
      <c r="J10" s="54">
        <f t="shared" si="0"/>
        <v>5.2081186244554434E-3</v>
      </c>
      <c r="K10" s="54">
        <f t="shared" si="0"/>
        <v>4.0424279111045533E-3</v>
      </c>
    </row>
    <row r="11" spans="1:24" x14ac:dyDescent="0.3">
      <c r="B11" s="46" t="s">
        <v>9</v>
      </c>
      <c r="C11" s="48">
        <v>4.8083435053748156</v>
      </c>
      <c r="D11" s="48">
        <v>4.6139287887139382</v>
      </c>
      <c r="E11" s="48">
        <v>3.1151940321632474</v>
      </c>
      <c r="F11" s="48">
        <v>5.1392677917970389</v>
      </c>
      <c r="H11" s="54">
        <f t="shared" si="1"/>
        <v>7.0710933902570815E-4</v>
      </c>
      <c r="I11" s="54">
        <f t="shared" si="0"/>
        <v>6.7851893951675565E-4</v>
      </c>
      <c r="J11" s="54">
        <f t="shared" si="0"/>
        <v>4.5811676943577166E-4</v>
      </c>
      <c r="K11" s="54">
        <f t="shared" si="0"/>
        <v>7.5577467526427046E-4</v>
      </c>
    </row>
    <row r="12" spans="1:24" x14ac:dyDescent="0.3">
      <c r="B12" s="46" t="s">
        <v>3</v>
      </c>
      <c r="C12" s="48">
        <v>53.196491026944969</v>
      </c>
      <c r="D12" s="48">
        <v>22.46262065673951</v>
      </c>
      <c r="E12" s="48">
        <v>90.045781483167744</v>
      </c>
      <c r="F12" s="48">
        <v>64.289427300429253</v>
      </c>
      <c r="H12" s="54">
        <f t="shared" si="1"/>
        <v>7.8230133863154364E-3</v>
      </c>
      <c r="I12" s="54">
        <f t="shared" si="0"/>
        <v>3.3033265671675752E-3</v>
      </c>
      <c r="J12" s="54">
        <f t="shared" si="0"/>
        <v>1.3242026688701138E-2</v>
      </c>
      <c r="K12" s="54">
        <f t="shared" si="0"/>
        <v>9.4543275441807718E-3</v>
      </c>
    </row>
    <row r="13" spans="1:24" x14ac:dyDescent="0.3">
      <c r="B13" s="46" t="s">
        <v>4</v>
      </c>
      <c r="C13" s="48">
        <v>162.40764784574822</v>
      </c>
      <c r="D13" s="48">
        <v>135.61985624775119</v>
      </c>
      <c r="E13" s="48">
        <v>258.00517731754644</v>
      </c>
      <c r="F13" s="48">
        <v>216.84373616945498</v>
      </c>
      <c r="H13" s="54">
        <f t="shared" si="1"/>
        <v>2.3883477624374736E-2</v>
      </c>
      <c r="I13" s="54">
        <f t="shared" si="0"/>
        <v>1.9944096507022235E-2</v>
      </c>
      <c r="J13" s="54">
        <f t="shared" si="0"/>
        <v>3.7941937840815655E-2</v>
      </c>
      <c r="K13" s="54">
        <f t="shared" si="0"/>
        <v>3.1888784730802207E-2</v>
      </c>
    </row>
    <row r="14" spans="1:24" x14ac:dyDescent="0.3">
      <c r="B14" s="46" t="s">
        <v>10</v>
      </c>
      <c r="C14" s="48">
        <v>27.602511907020087</v>
      </c>
      <c r="D14" s="48">
        <v>13.048425133601926</v>
      </c>
      <c r="E14" s="48">
        <v>44.700062494413217</v>
      </c>
      <c r="F14" s="48">
        <v>43.442640147075359</v>
      </c>
      <c r="H14" s="54">
        <f t="shared" si="1"/>
        <v>4.0591929275029543E-3</v>
      </c>
      <c r="I14" s="54">
        <f t="shared" si="0"/>
        <v>1.9188860490591067E-3</v>
      </c>
      <c r="J14" s="54">
        <f t="shared" si="0"/>
        <v>6.5735386021195906E-3</v>
      </c>
      <c r="K14" s="54">
        <f t="shared" si="0"/>
        <v>6.388623551040494E-3</v>
      </c>
    </row>
    <row r="15" spans="1:24" x14ac:dyDescent="0.3">
      <c r="B15" s="58" t="s">
        <v>2</v>
      </c>
      <c r="C15" s="59">
        <v>472.67333333333335</v>
      </c>
      <c r="D15" s="59">
        <v>276.05</v>
      </c>
      <c r="E15" s="59">
        <v>305.32</v>
      </c>
      <c r="F15" s="59">
        <v>429.60666666666663</v>
      </c>
      <c r="H15" s="54">
        <f t="shared" si="1"/>
        <v>6.9510784313725496E-2</v>
      </c>
      <c r="I15" s="54">
        <f t="shared" si="0"/>
        <v>4.0595588235294119E-2</v>
      </c>
      <c r="J15" s="54">
        <f t="shared" si="0"/>
        <v>4.4900000000000002E-2</v>
      </c>
      <c r="K15" s="54">
        <f t="shared" si="0"/>
        <v>6.3177450980392152E-2</v>
      </c>
    </row>
    <row r="16" spans="1:24" x14ac:dyDescent="0.3">
      <c r="B16" s="55" t="s">
        <v>5</v>
      </c>
      <c r="C16" s="56">
        <v>7.2948716284058204</v>
      </c>
      <c r="D16" s="56">
        <v>5.2737828482045757</v>
      </c>
      <c r="E16" s="56">
        <v>40.186574175903608</v>
      </c>
      <c r="F16" s="56">
        <v>8.1829299877303505</v>
      </c>
      <c r="G16" s="62"/>
      <c r="H16" s="63">
        <f t="shared" si="1"/>
        <v>1.0727752394714442E-3</v>
      </c>
      <c r="I16" s="63">
        <f t="shared" si="0"/>
        <v>7.7555630120655519E-4</v>
      </c>
      <c r="J16" s="63">
        <f t="shared" si="0"/>
        <v>5.909790319985825E-3</v>
      </c>
      <c r="K16" s="63">
        <f t="shared" si="0"/>
        <v>1.2033720570191692E-3</v>
      </c>
      <c r="L16" t="s">
        <v>98</v>
      </c>
    </row>
    <row r="17" spans="2:12" x14ac:dyDescent="0.3">
      <c r="B17" s="55" t="s">
        <v>6</v>
      </c>
      <c r="C17" s="56">
        <v>44.37717840442744</v>
      </c>
      <c r="D17" s="56">
        <v>30.763940766388867</v>
      </c>
      <c r="E17" s="56">
        <v>81.078096900524073</v>
      </c>
      <c r="F17" s="56">
        <v>61.021416302514126</v>
      </c>
      <c r="G17" s="62"/>
      <c r="H17" s="63">
        <f t="shared" si="1"/>
        <v>6.526055647709918E-3</v>
      </c>
      <c r="I17" s="63">
        <f t="shared" si="0"/>
        <v>4.5241089362336572E-3</v>
      </c>
      <c r="J17" s="63">
        <f t="shared" si="0"/>
        <v>1.1923249544194717E-2</v>
      </c>
      <c r="K17" s="63">
        <f t="shared" si="0"/>
        <v>8.9737376915461943E-3</v>
      </c>
    </row>
    <row r="18" spans="2:12" x14ac:dyDescent="0.3">
      <c r="B18" s="55" t="s">
        <v>7</v>
      </c>
      <c r="C18" s="56">
        <v>142.50709898335424</v>
      </c>
      <c r="D18" s="56">
        <v>119.76660157379527</v>
      </c>
      <c r="E18" s="56">
        <v>252.15405204478893</v>
      </c>
      <c r="F18" s="56">
        <v>185.9256054837025</v>
      </c>
      <c r="G18" s="62"/>
      <c r="H18" s="63">
        <f t="shared" si="1"/>
        <v>2.0956926321081506E-2</v>
      </c>
      <c r="I18" s="63">
        <f t="shared" si="0"/>
        <v>1.7612735525558129E-2</v>
      </c>
      <c r="J18" s="63">
        <f t="shared" si="0"/>
        <v>3.7081478241880725E-2</v>
      </c>
      <c r="K18" s="63">
        <f t="shared" si="0"/>
        <v>2.7342000806426837E-2</v>
      </c>
    </row>
    <row r="19" spans="2:12" x14ac:dyDescent="0.3">
      <c r="B19" s="55" t="s">
        <v>8</v>
      </c>
      <c r="C19" s="56">
        <v>110.96136391646661</v>
      </c>
      <c r="D19" s="56">
        <v>223.9283776087866</v>
      </c>
      <c r="E19" s="56">
        <v>621.19581244707229</v>
      </c>
      <c r="F19" s="56">
        <v>134.60717861790954</v>
      </c>
      <c r="G19" s="62"/>
      <c r="H19" s="63">
        <f t="shared" si="1"/>
        <v>1.63178476347745E-2</v>
      </c>
      <c r="I19" s="63">
        <f t="shared" si="0"/>
        <v>3.2930643765998031E-2</v>
      </c>
      <c r="J19" s="63">
        <f t="shared" si="0"/>
        <v>9.1352325359863568E-2</v>
      </c>
      <c r="K19" s="63">
        <f t="shared" si="0"/>
        <v>1.9795173326163169E-2</v>
      </c>
    </row>
    <row r="20" spans="2:12" x14ac:dyDescent="0.3">
      <c r="B20" s="55" t="s">
        <v>11</v>
      </c>
      <c r="C20" s="56">
        <v>111.78363647229443</v>
      </c>
      <c r="D20" s="56">
        <v>253.51872607145114</v>
      </c>
      <c r="E20" s="56">
        <v>343.87869308531822</v>
      </c>
      <c r="F20" s="56">
        <v>95.639517237065647</v>
      </c>
      <c r="G20" s="62"/>
      <c r="H20" s="63">
        <f t="shared" si="1"/>
        <v>1.6438770069455065E-2</v>
      </c>
      <c r="I20" s="63">
        <f t="shared" si="0"/>
        <v>3.7282165598742818E-2</v>
      </c>
      <c r="J20" s="63">
        <f t="shared" si="0"/>
        <v>5.0570396041958558E-2</v>
      </c>
      <c r="K20" s="63">
        <f t="shared" si="0"/>
        <v>1.4064634887803771E-2</v>
      </c>
    </row>
    <row r="21" spans="2:12" x14ac:dyDescent="0.3">
      <c r="B21" s="55" t="s">
        <v>12</v>
      </c>
      <c r="C21" s="56">
        <v>787.09632191286153</v>
      </c>
      <c r="D21" s="56">
        <v>791.24475935196176</v>
      </c>
      <c r="E21" s="56">
        <v>1179.3370641940667</v>
      </c>
      <c r="F21" s="56">
        <v>2224.1597734717034</v>
      </c>
      <c r="G21" s="62"/>
      <c r="H21" s="63">
        <f t="shared" si="1"/>
        <v>0.11574945910483257</v>
      </c>
      <c r="I21" s="63">
        <f t="shared" si="0"/>
        <v>0.11635952343411203</v>
      </c>
      <c r="J21" s="63">
        <f t="shared" si="0"/>
        <v>0.1734319212050098</v>
      </c>
      <c r="K21" s="63">
        <f t="shared" si="0"/>
        <v>0.32708231962819168</v>
      </c>
    </row>
    <row r="22" spans="2:12" x14ac:dyDescent="0.3">
      <c r="B22" s="55" t="s">
        <v>13</v>
      </c>
      <c r="C22" s="56">
        <v>842.06525108883818</v>
      </c>
      <c r="D22" s="56">
        <v>479.90712425739594</v>
      </c>
      <c r="E22" s="56">
        <v>2187.7305236701386</v>
      </c>
      <c r="F22" s="56">
        <v>1077.1965558065972</v>
      </c>
      <c r="G22" s="62"/>
      <c r="H22" s="63">
        <f t="shared" si="1"/>
        <v>0.12383312516012326</v>
      </c>
      <c r="I22" s="63">
        <f t="shared" si="0"/>
        <v>7.0574577096675875E-2</v>
      </c>
      <c r="J22" s="63">
        <f t="shared" si="0"/>
        <v>0.3217250770103145</v>
      </c>
      <c r="K22" s="63">
        <f t="shared" si="0"/>
        <v>0.15841125820685253</v>
      </c>
    </row>
    <row r="23" spans="2:12" x14ac:dyDescent="0.3">
      <c r="B23" s="55" t="s">
        <v>15</v>
      </c>
      <c r="C23" s="56">
        <v>29.193785710306134</v>
      </c>
      <c r="D23" s="56">
        <v>15.065497963260507</v>
      </c>
      <c r="E23" s="56">
        <v>53.908100016854164</v>
      </c>
      <c r="F23" s="56">
        <v>22.479586699822484</v>
      </c>
      <c r="G23" s="62"/>
      <c r="H23" s="63">
        <f t="shared" si="1"/>
        <v>4.2932037809273729E-3</v>
      </c>
      <c r="I23" s="63">
        <f t="shared" si="0"/>
        <v>2.2155144063618392E-3</v>
      </c>
      <c r="J23" s="63">
        <f t="shared" si="0"/>
        <v>7.9276617671844365E-3</v>
      </c>
      <c r="K23" s="63">
        <f t="shared" si="0"/>
        <v>3.3058215735033065E-3</v>
      </c>
    </row>
    <row r="24" spans="2:12" x14ac:dyDescent="0.3">
      <c r="B24" s="55" t="s">
        <v>16</v>
      </c>
      <c r="C24" s="56">
        <v>829.6142628996131</v>
      </c>
      <c r="D24" s="56">
        <v>315.4685159788321</v>
      </c>
      <c r="E24" s="56">
        <v>1312.5267772794134</v>
      </c>
      <c r="F24" s="56">
        <v>917.58937235808412</v>
      </c>
      <c r="G24" s="62"/>
      <c r="H24" s="63">
        <f t="shared" si="1"/>
        <v>0.12200209748523722</v>
      </c>
      <c r="I24" s="63">
        <f t="shared" si="0"/>
        <v>4.6392428820416484E-2</v>
      </c>
      <c r="J24" s="63">
        <f t="shared" si="0"/>
        <v>0.19301864371756081</v>
      </c>
      <c r="K24" s="63">
        <f t="shared" si="0"/>
        <v>0.13493961358207118</v>
      </c>
    </row>
    <row r="25" spans="2:12" x14ac:dyDescent="0.3">
      <c r="B25" s="60" t="s">
        <v>124</v>
      </c>
      <c r="C25" s="61">
        <v>49.28</v>
      </c>
      <c r="D25" s="61">
        <v>26.98</v>
      </c>
      <c r="E25" s="61">
        <v>4.3529999999999998</v>
      </c>
      <c r="F25" s="61">
        <v>10.18</v>
      </c>
      <c r="H25" s="79">
        <f>0.001*(C25*0.5)/3400</f>
        <v>7.2470588235294124E-6</v>
      </c>
      <c r="I25" s="80">
        <f>0.0001*(D25*0.5)/3400</f>
        <v>3.9676470588235299E-7</v>
      </c>
      <c r="J25" s="80">
        <f>0.0001*(E25*0.5)/3400</f>
        <v>6.4014705882352947E-8</v>
      </c>
      <c r="K25" s="80">
        <f>0.0001*(F25*0.5)/3400</f>
        <v>1.4970588235294118E-7</v>
      </c>
      <c r="L25" t="s">
        <v>98</v>
      </c>
    </row>
    <row r="26" spans="2:12" x14ac:dyDescent="0.3">
      <c r="B26" s="40" t="s">
        <v>87</v>
      </c>
      <c r="C26" s="48">
        <v>0.70499999999999996</v>
      </c>
      <c r="D26" s="48">
        <v>0.71050000000000002</v>
      </c>
      <c r="E26" s="48">
        <v>1.276</v>
      </c>
      <c r="F26" s="48">
        <v>0.76690000000000003</v>
      </c>
      <c r="H26" s="79">
        <f t="shared" ref="H26:H31" si="2">0.001*(C26*0.5)/3400</f>
        <v>1.036764705882353E-7</v>
      </c>
      <c r="I26" s="80">
        <f t="shared" ref="I26:I31" si="3">0.0001*(D26*0.5)/3400</f>
        <v>1.0448529411764707E-8</v>
      </c>
      <c r="J26" s="80">
        <f t="shared" ref="J26:J31" si="4">0.0001*(E26*0.5)/3400</f>
        <v>1.8764705882352942E-8</v>
      </c>
      <c r="K26" s="80">
        <f t="shared" ref="K26:K31" si="5">0.0001*(F26*0.5)/3400</f>
        <v>1.1277941176470591E-8</v>
      </c>
    </row>
    <row r="27" spans="2:12" x14ac:dyDescent="0.3">
      <c r="B27" s="40" t="s">
        <v>88</v>
      </c>
      <c r="C27" s="48">
        <v>213.5</v>
      </c>
      <c r="D27" s="48">
        <v>212.2</v>
      </c>
      <c r="E27" s="48">
        <v>20.37</v>
      </c>
      <c r="F27" s="48">
        <v>81.510000000000005</v>
      </c>
      <c r="H27" s="79">
        <f t="shared" si="2"/>
        <v>3.1397058823529412E-5</v>
      </c>
      <c r="I27" s="80">
        <f t="shared" si="3"/>
        <v>3.1205882352941174E-6</v>
      </c>
      <c r="J27" s="80">
        <f t="shared" si="4"/>
        <v>2.9955882352941177E-7</v>
      </c>
      <c r="K27" s="80">
        <f t="shared" si="5"/>
        <v>1.1986764705882354E-6</v>
      </c>
    </row>
    <row r="28" spans="2:12" x14ac:dyDescent="0.3">
      <c r="B28" s="40" t="s">
        <v>89</v>
      </c>
      <c r="C28" s="48">
        <v>101.9</v>
      </c>
      <c r="D28" s="48">
        <v>215.2</v>
      </c>
      <c r="E28" s="48">
        <v>41.31</v>
      </c>
      <c r="F28" s="48">
        <v>181.1</v>
      </c>
      <c r="H28" s="79">
        <f t="shared" si="2"/>
        <v>1.498529411764706E-5</v>
      </c>
      <c r="I28" s="80">
        <f t="shared" si="3"/>
        <v>3.1647058823529412E-6</v>
      </c>
      <c r="J28" s="80">
        <f t="shared" si="4"/>
        <v>6.0750000000000001E-7</v>
      </c>
      <c r="K28" s="80">
        <f t="shared" si="5"/>
        <v>2.663235294117647E-6</v>
      </c>
    </row>
    <row r="29" spans="2:12" x14ac:dyDescent="0.3">
      <c r="B29" s="40" t="s">
        <v>90</v>
      </c>
      <c r="C29" s="48">
        <v>1984</v>
      </c>
      <c r="D29" s="48">
        <v>235.3</v>
      </c>
      <c r="E29" s="48">
        <v>39.590000000000003</v>
      </c>
      <c r="F29" s="48">
        <v>371.7</v>
      </c>
      <c r="H29" s="79">
        <f t="shared" si="2"/>
        <v>2.9176470588235292E-4</v>
      </c>
      <c r="I29" s="80">
        <f t="shared" si="3"/>
        <v>3.4602941176470594E-6</v>
      </c>
      <c r="J29" s="80">
        <f t="shared" si="4"/>
        <v>5.8220588235294133E-7</v>
      </c>
      <c r="K29" s="80">
        <f t="shared" si="5"/>
        <v>5.4661764705882354E-6</v>
      </c>
    </row>
    <row r="30" spans="2:12" x14ac:dyDescent="0.3">
      <c r="B30" s="40" t="s">
        <v>91</v>
      </c>
      <c r="C30" s="48">
        <v>8.5449999999999999</v>
      </c>
      <c r="D30" s="48">
        <v>3.5859999999999999</v>
      </c>
      <c r="E30" s="48">
        <v>0.92849999999999999</v>
      </c>
      <c r="F30" s="48">
        <v>4.2670000000000003</v>
      </c>
      <c r="H30" s="79">
        <f t="shared" si="2"/>
        <v>1.2566176470588236E-6</v>
      </c>
      <c r="I30" s="80">
        <f t="shared" si="3"/>
        <v>5.2735294117647056E-8</v>
      </c>
      <c r="J30" s="80">
        <f t="shared" si="4"/>
        <v>1.3654411764705884E-8</v>
      </c>
      <c r="K30" s="80">
        <f t="shared" si="5"/>
        <v>6.2750000000000016E-8</v>
      </c>
    </row>
    <row r="31" spans="2:12" x14ac:dyDescent="0.3">
      <c r="B31" s="40" t="s">
        <v>92</v>
      </c>
      <c r="C31" s="48">
        <v>521.29999999999995</v>
      </c>
      <c r="D31" s="48">
        <v>375</v>
      </c>
      <c r="E31" s="48">
        <v>16.420000000000002</v>
      </c>
      <c r="F31" s="48">
        <v>109</v>
      </c>
      <c r="H31" s="79">
        <f t="shared" si="2"/>
        <v>7.6661764705882347E-5</v>
      </c>
      <c r="I31" s="80">
        <f t="shared" si="3"/>
        <v>5.5147058823529407E-6</v>
      </c>
      <c r="J31" s="80">
        <f t="shared" si="4"/>
        <v>2.4147058823529413E-7</v>
      </c>
      <c r="K31" s="80">
        <f t="shared" si="5"/>
        <v>1.6029411764705882E-6</v>
      </c>
    </row>
    <row r="33" spans="2:23" x14ac:dyDescent="0.3">
      <c r="F33" s="64" t="s">
        <v>94</v>
      </c>
      <c r="G33" t="s">
        <v>46</v>
      </c>
      <c r="K33" t="s">
        <v>123</v>
      </c>
    </row>
    <row r="34" spans="2:23" x14ac:dyDescent="0.3">
      <c r="C34" s="64" t="s">
        <v>95</v>
      </c>
      <c r="F34" s="53" t="s">
        <v>72</v>
      </c>
      <c r="G34" s="53" t="s">
        <v>73</v>
      </c>
      <c r="H34" s="53" t="s">
        <v>84</v>
      </c>
      <c r="I34" s="53" t="s">
        <v>75</v>
      </c>
      <c r="K34" s="53" t="s">
        <v>116</v>
      </c>
      <c r="L34" s="53" t="s">
        <v>117</v>
      </c>
      <c r="M34" s="53" t="s">
        <v>118</v>
      </c>
      <c r="N34" s="53" t="s">
        <v>119</v>
      </c>
    </row>
    <row r="35" spans="2:23" x14ac:dyDescent="0.3">
      <c r="B35" s="46" t="s">
        <v>5</v>
      </c>
      <c r="C35" s="34">
        <v>0.18</v>
      </c>
      <c r="F35" s="66">
        <f>H16/C35</f>
        <v>5.9598624415080235E-3</v>
      </c>
      <c r="G35" s="66">
        <f>I16/2.8</f>
        <v>2.7698439328805542E-4</v>
      </c>
      <c r="H35" s="66">
        <f t="shared" ref="H35:I35" si="6">J16/2.8</f>
        <v>2.1106393999949374E-3</v>
      </c>
      <c r="I35" s="66">
        <f t="shared" si="6"/>
        <v>4.2977573464970329E-4</v>
      </c>
      <c r="J35" s="46" t="s">
        <v>102</v>
      </c>
      <c r="K35" s="11">
        <f>F35*100/F41</f>
        <v>40.377669453165538</v>
      </c>
      <c r="L35" s="11">
        <f t="shared" ref="L35:N35" si="7">G35*100/G41</f>
        <v>5.1065314232032657</v>
      </c>
      <c r="M35" s="11">
        <f t="shared" si="7"/>
        <v>9.5650559675766988</v>
      </c>
      <c r="N35" s="11">
        <f t="shared" si="7"/>
        <v>3.6747724704728904</v>
      </c>
    </row>
    <row r="36" spans="2:23" x14ac:dyDescent="0.3">
      <c r="B36" s="46" t="s">
        <v>6</v>
      </c>
      <c r="C36" s="34">
        <v>3.2</v>
      </c>
      <c r="F36" s="66">
        <f>H17/3.2</f>
        <v>2.0393923899093493E-3</v>
      </c>
      <c r="G36" s="66">
        <f t="shared" ref="G36:I36" si="8">I17/3.2</f>
        <v>1.4137840425730178E-3</v>
      </c>
      <c r="H36" s="66">
        <f t="shared" si="8"/>
        <v>3.726015482560849E-3</v>
      </c>
      <c r="I36" s="66">
        <f t="shared" si="8"/>
        <v>2.8042930286081855E-3</v>
      </c>
      <c r="J36" s="46" t="s">
        <v>103</v>
      </c>
      <c r="K36" s="11">
        <f>F36*100/F41</f>
        <v>13.8167470496559</v>
      </c>
      <c r="L36" s="11">
        <f t="shared" ref="L36:N36" si="9">G36*100/G41</f>
        <v>26.064763264529358</v>
      </c>
      <c r="M36" s="11">
        <f t="shared" si="9"/>
        <v>16.885663475645014</v>
      </c>
      <c r="N36" s="11">
        <f t="shared" si="9"/>
        <v>23.977944750807772</v>
      </c>
    </row>
    <row r="37" spans="2:23" x14ac:dyDescent="0.3">
      <c r="B37" s="46" t="s">
        <v>7</v>
      </c>
      <c r="C37" s="34">
        <v>65</v>
      </c>
      <c r="F37" s="66">
        <f>H18/70</f>
        <v>2.9938466172973582E-4</v>
      </c>
      <c r="G37" s="66">
        <f t="shared" ref="G37:I37" si="10">I18/70</f>
        <v>2.5161050750797329E-4</v>
      </c>
      <c r="H37" s="66">
        <f t="shared" si="10"/>
        <v>5.2973540345543891E-4</v>
      </c>
      <c r="I37" s="66">
        <f t="shared" si="10"/>
        <v>3.906000115203834E-4</v>
      </c>
      <c r="J37" s="46" t="s">
        <v>104</v>
      </c>
      <c r="K37" s="11">
        <f>F37*100/F41</f>
        <v>2.0283110607519843</v>
      </c>
      <c r="L37" s="11">
        <f t="shared" ref="L37:N37" si="11">G37*100/G41</f>
        <v>4.6387341457949018</v>
      </c>
      <c r="M37" s="11">
        <f t="shared" si="11"/>
        <v>2.4006700443809823</v>
      </c>
      <c r="N37" s="11">
        <f t="shared" si="11"/>
        <v>3.3398027240216819</v>
      </c>
    </row>
    <row r="38" spans="2:23" x14ac:dyDescent="0.3">
      <c r="B38" s="46" t="s">
        <v>13</v>
      </c>
      <c r="C38" s="34">
        <v>29.9</v>
      </c>
      <c r="F38" s="66">
        <f>H22/23</f>
        <v>5.384048920005359E-3</v>
      </c>
      <c r="G38" s="66">
        <f t="shared" ref="G38:I38" si="12">I22/23</f>
        <v>3.0684598737685163E-3</v>
      </c>
      <c r="H38" s="66">
        <f t="shared" si="12"/>
        <v>1.3988046826535414E-2</v>
      </c>
      <c r="I38" s="66">
        <f t="shared" si="12"/>
        <v>6.8874460089935882E-3</v>
      </c>
      <c r="J38" s="46" t="s">
        <v>105</v>
      </c>
      <c r="K38" s="11">
        <f>F38*100/F41</f>
        <v>36.476571354663974</v>
      </c>
      <c r="L38" s="11">
        <f t="shared" ref="L38:N38" si="13">G38*100/G41</f>
        <v>56.570648548930244</v>
      </c>
      <c r="M38" s="11">
        <f t="shared" si="13"/>
        <v>63.391430470413752</v>
      </c>
      <c r="N38" s="11">
        <f t="shared" si="13"/>
        <v>58.890707280966524</v>
      </c>
    </row>
    <row r="39" spans="2:23" x14ac:dyDescent="0.3">
      <c r="B39" s="46" t="s">
        <v>15</v>
      </c>
      <c r="C39" s="34">
        <v>166</v>
      </c>
      <c r="F39" s="65">
        <f>H23/166</f>
        <v>2.5862673379080561E-5</v>
      </c>
      <c r="G39" s="65">
        <f t="shared" ref="G39:I39" si="14">I23/166</f>
        <v>1.3346472327480959E-5</v>
      </c>
      <c r="H39" s="65">
        <f t="shared" si="14"/>
        <v>4.7756998597496605E-5</v>
      </c>
      <c r="I39" s="65">
        <f t="shared" si="14"/>
        <v>1.9914587792188592E-5</v>
      </c>
      <c r="J39" s="46" t="s">
        <v>106</v>
      </c>
      <c r="K39" s="11">
        <f>F39*100/F41</f>
        <v>0.17521788248043291</v>
      </c>
      <c r="L39" s="11">
        <f t="shared" ref="L39:N39" si="15">G39*100/G41</f>
        <v>0.24605783567854689</v>
      </c>
      <c r="M39" s="11">
        <f t="shared" si="15"/>
        <v>0.21642653142437909</v>
      </c>
      <c r="N39" s="11">
        <f t="shared" si="15"/>
        <v>0.17027852686750253</v>
      </c>
    </row>
    <row r="40" spans="2:23" x14ac:dyDescent="0.3">
      <c r="B40" s="46" t="s">
        <v>16</v>
      </c>
      <c r="C40" s="34">
        <v>26</v>
      </c>
      <c r="F40" s="66">
        <f>H24/116</f>
        <v>1.0517422197003209E-3</v>
      </c>
      <c r="G40" s="66">
        <f t="shared" ref="G40:I40" si="16">I24/116</f>
        <v>3.9993473121048692E-4</v>
      </c>
      <c r="H40" s="66">
        <f t="shared" si="16"/>
        <v>1.6639538251513862E-3</v>
      </c>
      <c r="I40" s="66">
        <f t="shared" si="16"/>
        <v>1.1632725308799239E-3</v>
      </c>
      <c r="J40" s="46" t="s">
        <v>107</v>
      </c>
      <c r="K40" s="11">
        <f>F40*100/F41</f>
        <v>7.1254831992821579</v>
      </c>
      <c r="L40" s="11">
        <f t="shared" ref="L40:N40" si="17">G40*100/G41</f>
        <v>7.3732647818637007</v>
      </c>
      <c r="M40" s="11">
        <f t="shared" si="17"/>
        <v>7.5407535105591776</v>
      </c>
      <c r="N40" s="11">
        <f t="shared" si="17"/>
        <v>9.9464942468636437</v>
      </c>
    </row>
    <row r="41" spans="2:23" x14ac:dyDescent="0.3">
      <c r="B41" s="46"/>
      <c r="C41" s="68" t="s">
        <v>96</v>
      </c>
      <c r="D41" s="68" t="s">
        <v>99</v>
      </c>
      <c r="E41" t="s">
        <v>125</v>
      </c>
      <c r="F41" s="73">
        <f>SUM(F35:F40)</f>
        <v>1.476029330623187E-2</v>
      </c>
      <c r="G41" s="73">
        <f t="shared" ref="G41:I41" si="18">SUM(G35:G40)</f>
        <v>5.42412002067553E-3</v>
      </c>
      <c r="H41" s="73">
        <f t="shared" si="18"/>
        <v>2.2066147936295522E-2</v>
      </c>
      <c r="I41" s="73">
        <f t="shared" si="18"/>
        <v>1.1695301902443972E-2</v>
      </c>
      <c r="J41" s="69"/>
      <c r="K41" s="53" t="s">
        <v>116</v>
      </c>
      <c r="L41" s="53" t="s">
        <v>117</v>
      </c>
      <c r="M41" s="53" t="s">
        <v>118</v>
      </c>
      <c r="N41" s="53" t="s">
        <v>119</v>
      </c>
    </row>
    <row r="42" spans="2:23" x14ac:dyDescent="0.3">
      <c r="B42" s="40" t="s">
        <v>86</v>
      </c>
      <c r="C42" s="34">
        <v>5.1000000000000004E-3</v>
      </c>
      <c r="D42" s="57">
        <f>2.05/1700*C42*1000</f>
        <v>6.1500000000000001E-3</v>
      </c>
      <c r="F42" s="66">
        <f>H25/0.0062</f>
        <v>1.1688804554079698E-3</v>
      </c>
      <c r="G42" s="66">
        <f t="shared" ref="G42:I42" si="19">I25/0.0062</f>
        <v>6.3994307400379522E-5</v>
      </c>
      <c r="H42" s="66">
        <f t="shared" si="19"/>
        <v>1.032495256166983E-5</v>
      </c>
      <c r="I42" s="66">
        <f t="shared" si="19"/>
        <v>2.4146110056925998E-5</v>
      </c>
      <c r="J42" s="60" t="s">
        <v>108</v>
      </c>
      <c r="K42" s="75">
        <f>F42*100/F49</f>
        <v>0.15904318760589084</v>
      </c>
      <c r="L42" s="75">
        <f t="shared" ref="L42:N42" si="20">G42*100/G49</f>
        <v>0.69264795392500411</v>
      </c>
      <c r="M42" s="75">
        <f t="shared" si="20"/>
        <v>0.67111483419387585</v>
      </c>
      <c r="N42" s="75">
        <f t="shared" si="20"/>
        <v>0.1724224465816111</v>
      </c>
      <c r="W42" t="s">
        <v>46</v>
      </c>
    </row>
    <row r="43" spans="2:23" x14ac:dyDescent="0.3">
      <c r="B43" s="40" t="s">
        <v>87</v>
      </c>
      <c r="C43" s="67">
        <v>8.3999999999999995E-3</v>
      </c>
      <c r="D43" s="57">
        <f t="shared" ref="D43:D48" si="21">2.05/1700*C43*1000</f>
        <v>1.0129411764705882E-2</v>
      </c>
      <c r="F43" s="66">
        <f>H26/0.0101</f>
        <v>1.0264997087944089E-5</v>
      </c>
      <c r="G43" s="66">
        <f t="shared" ref="G43:I43" si="22">I26/0.0101</f>
        <v>1.0345078625509612E-6</v>
      </c>
      <c r="H43" s="66">
        <f t="shared" si="22"/>
        <v>1.8578916715200933E-6</v>
      </c>
      <c r="I43" s="66">
        <f t="shared" si="22"/>
        <v>1.116627839254514E-6</v>
      </c>
      <c r="J43" s="40" t="s">
        <v>109</v>
      </c>
      <c r="K43" s="75">
        <f>F43*100/F49</f>
        <v>1.3967021606687768E-3</v>
      </c>
      <c r="L43" s="75">
        <f t="shared" ref="L43:N43" si="23">G43*100/G49</f>
        <v>1.1197085856905504E-2</v>
      </c>
      <c r="M43" s="75">
        <f t="shared" si="23"/>
        <v>0.12076168424358734</v>
      </c>
      <c r="N43" s="75">
        <f t="shared" si="23"/>
        <v>7.9736116298441233E-3</v>
      </c>
    </row>
    <row r="44" spans="2:23" x14ac:dyDescent="0.3">
      <c r="B44" s="40" t="s">
        <v>88</v>
      </c>
      <c r="C44" s="34">
        <v>1.4999999999999999E-2</v>
      </c>
      <c r="D44" s="57">
        <f t="shared" si="21"/>
        <v>1.8088235294117645E-2</v>
      </c>
      <c r="F44" s="66">
        <f>H27/0.0181</f>
        <v>1.7346441338966525E-3</v>
      </c>
      <c r="G44" s="66">
        <f t="shared" ref="G44:I44" si="24">I27/0.0181</f>
        <v>1.7240818979525509E-4</v>
      </c>
      <c r="H44" s="66">
        <f t="shared" si="24"/>
        <v>1.655021124471888E-5</v>
      </c>
      <c r="I44" s="66">
        <f t="shared" si="24"/>
        <v>6.6225219369515768E-5</v>
      </c>
      <c r="J44" s="40" t="s">
        <v>110</v>
      </c>
      <c r="K44" s="75">
        <f>F44*100/F49</f>
        <v>0.23602356523318963</v>
      </c>
      <c r="L44" s="75">
        <f t="shared" ref="L44:N44" si="25">G44*100/G49</f>
        <v>1.8660750424949362</v>
      </c>
      <c r="M44" s="75">
        <f t="shared" si="25"/>
        <v>1.0757523784280523</v>
      </c>
      <c r="N44" s="75">
        <f t="shared" si="25"/>
        <v>0.47290078286628617</v>
      </c>
    </row>
    <row r="45" spans="2:23" x14ac:dyDescent="0.3">
      <c r="B45" s="40" t="s">
        <v>89</v>
      </c>
      <c r="C45" s="34">
        <v>1.04E-2</v>
      </c>
      <c r="D45" s="57">
        <f t="shared" si="21"/>
        <v>1.2541176470588234E-2</v>
      </c>
      <c r="F45" s="66">
        <f>H28/0.0125</f>
        <v>1.1988235294117648E-3</v>
      </c>
      <c r="G45" s="66">
        <f t="shared" ref="G45:I45" si="26">I28/0.0125</f>
        <v>2.5317647058823529E-4</v>
      </c>
      <c r="H45" s="66">
        <f t="shared" si="26"/>
        <v>4.8599999999999995E-5</v>
      </c>
      <c r="I45" s="66">
        <f t="shared" si="26"/>
        <v>2.1305882352941176E-4</v>
      </c>
      <c r="J45" s="40" t="s">
        <v>111</v>
      </c>
      <c r="K45" s="75">
        <f>F45*100/F49</f>
        <v>0.16311737835332746</v>
      </c>
      <c r="L45" s="75">
        <f t="shared" ref="L45:N45" si="27">G45*100/G49</f>
        <v>2.7402775568418005</v>
      </c>
      <c r="M45" s="75">
        <f t="shared" si="27"/>
        <v>3.1589666632373783</v>
      </c>
      <c r="N45" s="75">
        <f t="shared" si="27"/>
        <v>1.5214095989843974</v>
      </c>
    </row>
    <row r="46" spans="2:23" x14ac:dyDescent="0.3">
      <c r="B46" s="40" t="s">
        <v>90</v>
      </c>
      <c r="C46" s="67">
        <v>3.5E-4</v>
      </c>
      <c r="D46" s="57">
        <f t="shared" si="21"/>
        <v>4.2205882352941177E-4</v>
      </c>
      <c r="F46" s="66">
        <f>H29/0.0004</f>
        <v>0.7294117647058822</v>
      </c>
      <c r="G46" s="66">
        <f t="shared" ref="G46:I46" si="28">I29/0.0004</f>
        <v>8.6507352941176483E-3</v>
      </c>
      <c r="H46" s="66">
        <f t="shared" si="28"/>
        <v>1.4555147058823532E-3</v>
      </c>
      <c r="I46" s="66">
        <f t="shared" si="28"/>
        <v>1.3665441176470589E-2</v>
      </c>
      <c r="J46" s="40" t="s">
        <v>112</v>
      </c>
      <c r="K46" s="75">
        <f>F46*100/F49</f>
        <v>99.247080057961725</v>
      </c>
      <c r="L46" s="75">
        <f t="shared" ref="L46:N46" si="29">G46*100/G49</f>
        <v>93.631986106655987</v>
      </c>
      <c r="M46" s="75">
        <f t="shared" si="29"/>
        <v>94.607457484240967</v>
      </c>
      <c r="N46" s="75">
        <f t="shared" si="29"/>
        <v>97.582127958051601</v>
      </c>
    </row>
    <row r="47" spans="2:23" x14ac:dyDescent="0.3">
      <c r="B47" s="40" t="s">
        <v>91</v>
      </c>
      <c r="C47" s="67">
        <v>7.0000000000000001E-3</v>
      </c>
      <c r="D47" s="57">
        <f t="shared" si="21"/>
        <v>8.4411764705882349E-3</v>
      </c>
      <c r="F47" s="66">
        <f>H30/0.0084</f>
        <v>1.4959733893557425E-4</v>
      </c>
      <c r="G47" s="66">
        <f t="shared" ref="G47:I47" si="30">I30/0.0084</f>
        <v>6.2780112044817926E-6</v>
      </c>
      <c r="H47" s="66">
        <f t="shared" si="30"/>
        <v>1.6255252100840338E-6</v>
      </c>
      <c r="I47" s="66">
        <f t="shared" si="30"/>
        <v>7.4702380952380974E-6</v>
      </c>
      <c r="J47" s="40" t="s">
        <v>113</v>
      </c>
      <c r="K47" s="75">
        <f>F47*100/F49</f>
        <v>2.0354893891495852E-2</v>
      </c>
      <c r="L47" s="75">
        <f t="shared" ref="L47:N47" si="31">G47*100/G49</f>
        <v>6.7950600485392171E-2</v>
      </c>
      <c r="M47" s="75">
        <f t="shared" si="31"/>
        <v>0.10565802364006993</v>
      </c>
      <c r="N47" s="75">
        <f t="shared" si="31"/>
        <v>5.3343446455411586E-2</v>
      </c>
    </row>
    <row r="48" spans="2:23" x14ac:dyDescent="0.3">
      <c r="B48" s="40" t="s">
        <v>92</v>
      </c>
      <c r="C48" s="67">
        <v>0.05</v>
      </c>
      <c r="D48" s="57">
        <f t="shared" si="21"/>
        <v>6.0294117647058824E-2</v>
      </c>
      <c r="F48" s="66">
        <f>H31/0.0603</f>
        <v>1.2713393815237538E-3</v>
      </c>
      <c r="G48" s="66">
        <f t="shared" ref="G48:I48" si="32">I31/0.0603</f>
        <v>9.1454492244659051E-5</v>
      </c>
      <c r="H48" s="66">
        <f t="shared" si="32"/>
        <v>4.0044873670861381E-6</v>
      </c>
      <c r="I48" s="66">
        <f t="shared" si="32"/>
        <v>2.6582772412447565E-5</v>
      </c>
      <c r="J48" s="40" t="s">
        <v>114</v>
      </c>
      <c r="K48" s="75">
        <f>F48*100/F49</f>
        <v>0.17298421479369103</v>
      </c>
      <c r="L48" s="75">
        <f t="shared" ref="L48:N48" si="33">G48*100/G49</f>
        <v>0.98986565373996971</v>
      </c>
      <c r="M48" s="75">
        <f t="shared" si="33"/>
        <v>0.26028893201605618</v>
      </c>
      <c r="N48" s="75">
        <f t="shared" si="33"/>
        <v>0.18982215543085618</v>
      </c>
    </row>
    <row r="49" spans="1:10" x14ac:dyDescent="0.3">
      <c r="C49" s="64" t="s">
        <v>155</v>
      </c>
      <c r="D49" s="72">
        <f>SUM(D42:D48)</f>
        <v>0.11606617647058824</v>
      </c>
      <c r="E49" t="s">
        <v>125</v>
      </c>
      <c r="F49" s="74">
        <f>SUM(F42:F48)</f>
        <v>0.73494531454214596</v>
      </c>
      <c r="G49" s="74">
        <f t="shared" ref="G49:I49" si="34">SUM(G42:G48)</f>
        <v>9.2390812732132104E-3</v>
      </c>
      <c r="H49" s="74">
        <f t="shared" si="34"/>
        <v>1.5384777739374323E-3</v>
      </c>
      <c r="I49" s="74">
        <f t="shared" si="34"/>
        <v>1.4004040967773383E-2</v>
      </c>
    </row>
    <row r="50" spans="1:10" x14ac:dyDescent="0.3">
      <c r="C50" s="64"/>
      <c r="D50" s="72"/>
    </row>
    <row r="51" spans="1:10" x14ac:dyDescent="0.3">
      <c r="C51" s="64" t="s">
        <v>154</v>
      </c>
      <c r="D51" s="64">
        <f>SUM(C35:C40)</f>
        <v>290.27999999999997</v>
      </c>
    </row>
    <row r="52" spans="1:10" x14ac:dyDescent="0.3">
      <c r="F52" t="s">
        <v>46</v>
      </c>
    </row>
    <row r="53" spans="1:10" x14ac:dyDescent="0.3">
      <c r="G53" t="s">
        <v>122</v>
      </c>
      <c r="J53" t="s">
        <v>46</v>
      </c>
    </row>
    <row r="54" spans="1:10" x14ac:dyDescent="0.3">
      <c r="A54" s="64" t="s">
        <v>120</v>
      </c>
      <c r="B54" s="53" t="s">
        <v>72</v>
      </c>
      <c r="C54" s="53" t="s">
        <v>73</v>
      </c>
      <c r="D54" s="53" t="s">
        <v>84</v>
      </c>
      <c r="E54" s="53" t="s">
        <v>75</v>
      </c>
      <c r="G54" s="53" t="s">
        <v>116</v>
      </c>
      <c r="H54" s="53" t="s">
        <v>117</v>
      </c>
      <c r="I54" s="53" t="s">
        <v>118</v>
      </c>
      <c r="J54" s="53" t="s">
        <v>119</v>
      </c>
    </row>
    <row r="55" spans="1:10" x14ac:dyDescent="0.3">
      <c r="A55" s="46" t="s">
        <v>5</v>
      </c>
      <c r="B55" s="78">
        <f>H16/290.28</f>
        <v>3.6956567433906719E-6</v>
      </c>
      <c r="C55" s="78">
        <f t="shared" ref="C55:E55" si="35">I16/290.28</f>
        <v>2.671752450070812E-6</v>
      </c>
      <c r="D55" s="78">
        <f t="shared" si="35"/>
        <v>2.0358930411967154E-5</v>
      </c>
      <c r="E55" s="78">
        <f t="shared" si="35"/>
        <v>4.1455562113103531E-6</v>
      </c>
      <c r="F55" s="46" t="s">
        <v>102</v>
      </c>
      <c r="G55">
        <f>B55*100/B61</f>
        <v>0.38494299370724805</v>
      </c>
      <c r="H55">
        <f t="shared" ref="H55:J55" si="36">C55*100/C61</f>
        <v>0.54580156368481036</v>
      </c>
      <c r="I55">
        <f t="shared" si="36"/>
        <v>1.0231881203878463</v>
      </c>
      <c r="J55">
        <f t="shared" si="36"/>
        <v>0.36010149236194966</v>
      </c>
    </row>
    <row r="56" spans="1:10" x14ac:dyDescent="0.3">
      <c r="A56" s="46" t="s">
        <v>6</v>
      </c>
      <c r="B56" s="78">
        <f>H17/290.28</f>
        <v>2.2481933470132006E-5</v>
      </c>
      <c r="C56" s="78">
        <f t="shared" ref="C56:E56" si="37">I17/290.28</f>
        <v>1.5585327739539952E-5</v>
      </c>
      <c r="D56" s="78">
        <f t="shared" si="37"/>
        <v>4.1074994984824024E-5</v>
      </c>
      <c r="E56" s="78">
        <f t="shared" si="37"/>
        <v>3.0914075001881614E-5</v>
      </c>
      <c r="F56" s="46" t="s">
        <v>103</v>
      </c>
      <c r="G56">
        <f>B56*100/B61</f>
        <v>2.3417387964391212</v>
      </c>
      <c r="H56">
        <f t="shared" ref="H56:J56" si="38">C56*100/C61</f>
        <v>3.1838639281703287</v>
      </c>
      <c r="I56">
        <f t="shared" si="38"/>
        <v>2.0643248963982024</v>
      </c>
      <c r="J56">
        <f t="shared" si="38"/>
        <v>2.6853343618390051</v>
      </c>
    </row>
    <row r="57" spans="1:10" x14ac:dyDescent="0.3">
      <c r="A57" s="46" t="s">
        <v>7</v>
      </c>
      <c r="B57" s="78">
        <f>H18/290.28</f>
        <v>7.2195557120991832E-5</v>
      </c>
      <c r="C57" s="78">
        <f t="shared" ref="C57:E57" si="39">I18/290.28</f>
        <v>6.0674988030722513E-5</v>
      </c>
      <c r="D57" s="78">
        <f t="shared" si="39"/>
        <v>1.2774382748339784E-4</v>
      </c>
      <c r="E57" s="78">
        <f t="shared" si="39"/>
        <v>9.4191817577603823E-5</v>
      </c>
      <c r="F57" s="46" t="s">
        <v>104</v>
      </c>
      <c r="G57">
        <f>B57*100/B61</f>
        <v>7.5199554017615622</v>
      </c>
      <c r="H57">
        <f t="shared" ref="H57:J57" si="40">C57*100/C61</f>
        <v>12.395049302882748</v>
      </c>
      <c r="I57">
        <f t="shared" si="40"/>
        <v>6.4200802345223922</v>
      </c>
      <c r="J57">
        <f t="shared" si="40"/>
        <v>8.181921158236678</v>
      </c>
    </row>
    <row r="58" spans="1:10" x14ac:dyDescent="0.3">
      <c r="A58" s="46" t="s">
        <v>13</v>
      </c>
      <c r="B58" s="78">
        <f>H22/290.28</f>
        <v>4.2659888783286233E-4</v>
      </c>
      <c r="C58" s="78">
        <f t="shared" ref="C58:E58" si="41">I22/290.28</f>
        <v>2.431258684603689E-4</v>
      </c>
      <c r="D58" s="78">
        <f t="shared" si="41"/>
        <v>1.1083267087305861E-3</v>
      </c>
      <c r="E58" s="78">
        <f t="shared" si="41"/>
        <v>5.4571881702787845E-4</v>
      </c>
      <c r="F58" s="46" t="s">
        <v>105</v>
      </c>
      <c r="G58">
        <f>B58*100/B61</f>
        <v>44.43493116297924</v>
      </c>
      <c r="H58">
        <f t="shared" ref="H58:J58" si="42">C58*100/C61</f>
        <v>49.66720594730991</v>
      </c>
      <c r="I58">
        <f t="shared" si="42"/>
        <v>55.701684662918538</v>
      </c>
      <c r="J58">
        <f t="shared" si="42"/>
        <v>47.403569124351918</v>
      </c>
    </row>
    <row r="59" spans="1:10" x14ac:dyDescent="0.3">
      <c r="A59" s="46" t="s">
        <v>15</v>
      </c>
      <c r="B59" s="78">
        <f>H23/290.28</f>
        <v>1.4789871093176841E-5</v>
      </c>
      <c r="C59" s="78">
        <f t="shared" ref="C59:E59" si="43">I23/290.28</f>
        <v>7.632335697815348E-6</v>
      </c>
      <c r="D59" s="78">
        <f t="shared" si="43"/>
        <v>2.7310396056167965E-5</v>
      </c>
      <c r="E59" s="78">
        <f t="shared" si="43"/>
        <v>1.1388389050238758E-5</v>
      </c>
      <c r="F59" s="46" t="s">
        <v>106</v>
      </c>
      <c r="G59">
        <f>B59*100/B61</f>
        <v>1.5405265289677206</v>
      </c>
      <c r="H59">
        <f t="shared" ref="H59:J59" si="44">C59*100/C61</f>
        <v>1.5591791665895565</v>
      </c>
      <c r="I59">
        <f t="shared" si="44"/>
        <v>1.3725511233798717</v>
      </c>
      <c r="J59">
        <f t="shared" si="44"/>
        <v>0.98924623947945489</v>
      </c>
    </row>
    <row r="60" spans="1:10" x14ac:dyDescent="0.3">
      <c r="A60" s="46" t="s">
        <v>16</v>
      </c>
      <c r="B60" s="78">
        <f>H24/290.28</f>
        <v>4.2029108958673429E-4</v>
      </c>
      <c r="C60" s="78">
        <f t="shared" ref="C60:E60" si="45">I24/290.28</f>
        <v>1.5981958392040957E-4</v>
      </c>
      <c r="D60" s="78">
        <f t="shared" si="45"/>
        <v>6.6493951949001245E-4</v>
      </c>
      <c r="E60" s="78">
        <f t="shared" si="45"/>
        <v>4.6486018183158055E-4</v>
      </c>
      <c r="F60" s="46" t="s">
        <v>107</v>
      </c>
      <c r="G60">
        <f>B60*100/B61</f>
        <v>43.777905116145114</v>
      </c>
      <c r="H60">
        <f t="shared" ref="H60:J60" si="46">C60*100/C61</f>
        <v>32.648900091362641</v>
      </c>
      <c r="I60">
        <f t="shared" si="46"/>
        <v>33.418170962393155</v>
      </c>
      <c r="J60">
        <f t="shared" si="46"/>
        <v>40.379827623731003</v>
      </c>
    </row>
    <row r="61" spans="1:10" x14ac:dyDescent="0.3">
      <c r="A61" s="76"/>
      <c r="B61" s="81">
        <f>SUM(B55:B60)</f>
        <v>9.6005299584728796E-4</v>
      </c>
      <c r="C61" s="81">
        <f t="shared" ref="C61:E61" si="47">SUM(C55:C60)</f>
        <v>4.8950985629892712E-4</v>
      </c>
      <c r="D61" s="81">
        <f t="shared" si="47"/>
        <v>1.9897543771569557E-3</v>
      </c>
      <c r="E61" s="81">
        <f t="shared" si="47"/>
        <v>1.1512188367004935E-3</v>
      </c>
      <c r="F61" s="69"/>
      <c r="G61" s="53" t="s">
        <v>116</v>
      </c>
      <c r="H61" s="53" t="s">
        <v>117</v>
      </c>
      <c r="I61" s="53" t="s">
        <v>118</v>
      </c>
      <c r="J61" s="53" t="s">
        <v>119</v>
      </c>
    </row>
    <row r="62" spans="1:10" x14ac:dyDescent="0.3">
      <c r="A62" s="76"/>
      <c r="C62" t="s">
        <v>46</v>
      </c>
      <c r="F62" s="60" t="s">
        <v>108</v>
      </c>
      <c r="G62">
        <f>B64*100/B71</f>
        <v>1.7115687180253059</v>
      </c>
      <c r="H62">
        <f t="shared" ref="H62:J62" si="48">C64*100/C71</f>
        <v>2.5239095527357249</v>
      </c>
      <c r="I62">
        <f t="shared" si="48"/>
        <v>3.5034910159158135</v>
      </c>
      <c r="J62">
        <f t="shared" si="48"/>
        <v>1.3420803220570903</v>
      </c>
    </row>
    <row r="63" spans="1:10" x14ac:dyDescent="0.3">
      <c r="A63" s="77" t="s">
        <v>121</v>
      </c>
      <c r="C63" t="s">
        <v>46</v>
      </c>
      <c r="D63" t="s">
        <v>46</v>
      </c>
      <c r="F63" s="40" t="s">
        <v>109</v>
      </c>
      <c r="G63">
        <f>B65*100/B71</f>
        <v>2.4485713194152603E-2</v>
      </c>
      <c r="H63">
        <f t="shared" ref="H63:J63" si="49">C65*100/C71</f>
        <v>6.6465446153400012E-2</v>
      </c>
      <c r="I63">
        <f t="shared" si="49"/>
        <v>1.0269824342542104</v>
      </c>
      <c r="J63">
        <f t="shared" si="49"/>
        <v>0.1011042631616486</v>
      </c>
    </row>
    <row r="64" spans="1:10" x14ac:dyDescent="0.3">
      <c r="A64" s="40" t="s">
        <v>86</v>
      </c>
      <c r="B64" s="17">
        <f>H25/0.1161</f>
        <v>6.2420833966661613E-5</v>
      </c>
      <c r="C64" s="17">
        <f t="shared" ref="C64:E70" si="50">I25/0.1161</f>
        <v>3.4174393271520502E-6</v>
      </c>
      <c r="D64" s="17">
        <f t="shared" si="50"/>
        <v>5.5137558899528816E-7</v>
      </c>
      <c r="E64" s="17">
        <f t="shared" si="50"/>
        <v>1.2894563510158586E-6</v>
      </c>
      <c r="F64" s="40" t="s">
        <v>110</v>
      </c>
      <c r="G64">
        <f>B66*100/B71</f>
        <v>7.4151769743994072</v>
      </c>
      <c r="H64">
        <f t="shared" ref="H64:J64" si="51">C66*100/C71</f>
        <v>19.850763791346207</v>
      </c>
      <c r="I64">
        <f t="shared" si="51"/>
        <v>16.394696070343464</v>
      </c>
      <c r="J64">
        <f t="shared" si="51"/>
        <v>10.745871026608391</v>
      </c>
    </row>
    <row r="65" spans="1:10" x14ac:dyDescent="0.3">
      <c r="A65" s="40" t="s">
        <v>87</v>
      </c>
      <c r="B65" s="17">
        <f t="shared" ref="B65:B70" si="52">H26/0.1161</f>
        <v>8.9299285605715163E-7</v>
      </c>
      <c r="C65" s="17">
        <f t="shared" si="50"/>
        <v>8.9995946699093094E-8</v>
      </c>
      <c r="D65" s="17">
        <f t="shared" si="50"/>
        <v>1.6162537366367736E-7</v>
      </c>
      <c r="E65" s="17">
        <f t="shared" si="50"/>
        <v>9.7139889547550317E-8</v>
      </c>
      <c r="F65" s="40" t="s">
        <v>111</v>
      </c>
      <c r="G65">
        <f>B67*100/B71</f>
        <v>3.5391406730271631</v>
      </c>
      <c r="H65">
        <f t="shared" ref="H65:J65" si="53">C67*100/C71</f>
        <v>20.131406069263452</v>
      </c>
      <c r="I65">
        <f t="shared" si="53"/>
        <v>33.248153886396103</v>
      </c>
      <c r="J65">
        <f t="shared" si="53"/>
        <v>23.875318892390865</v>
      </c>
    </row>
    <row r="66" spans="1:10" x14ac:dyDescent="0.3">
      <c r="A66" s="40" t="s">
        <v>88</v>
      </c>
      <c r="B66" s="17">
        <f t="shared" si="52"/>
        <v>2.7043116988397431E-4</v>
      </c>
      <c r="C66" s="17">
        <f t="shared" si="50"/>
        <v>2.6878451639053554E-5</v>
      </c>
      <c r="D66" s="17">
        <f t="shared" si="50"/>
        <v>2.5801793585651317E-6</v>
      </c>
      <c r="E66" s="17">
        <f t="shared" si="50"/>
        <v>1.032451740386077E-5</v>
      </c>
      <c r="F66" s="40" t="s">
        <v>112</v>
      </c>
      <c r="G66">
        <f>B68*100/B71</f>
        <v>68.907312024395409</v>
      </c>
      <c r="H66">
        <f t="shared" ref="H66:J66" si="54">C68*100/C71</f>
        <v>22.011709331308971</v>
      </c>
      <c r="I66">
        <f t="shared" si="54"/>
        <v>31.863820197589494</v>
      </c>
      <c r="J66">
        <f t="shared" si="54"/>
        <v>49.003070305365462</v>
      </c>
    </row>
    <row r="67" spans="1:10" x14ac:dyDescent="0.3">
      <c r="A67" s="40" t="s">
        <v>89</v>
      </c>
      <c r="B67" s="17">
        <f t="shared" si="52"/>
        <v>1.290723007549273E-4</v>
      </c>
      <c r="C67" s="17">
        <f t="shared" si="50"/>
        <v>2.7258448599077877E-5</v>
      </c>
      <c r="D67" s="17">
        <f t="shared" si="50"/>
        <v>5.2325581395348839E-6</v>
      </c>
      <c r="E67" s="17">
        <f t="shared" si="50"/>
        <v>2.2939149820134772E-5</v>
      </c>
      <c r="F67" s="40" t="s">
        <v>113</v>
      </c>
      <c r="G67">
        <f>B69*100/B71</f>
        <v>0.29678073651636028</v>
      </c>
      <c r="H67">
        <f t="shared" ref="H67:J67" si="55">C69*100/C71</f>
        <v>0.33546106953707588</v>
      </c>
      <c r="I67">
        <f t="shared" si="55"/>
        <v>0.74729873840519934</v>
      </c>
      <c r="J67">
        <f t="shared" si="55"/>
        <v>0.56253995424534431</v>
      </c>
    </row>
    <row r="68" spans="1:10" x14ac:dyDescent="0.3">
      <c r="A68" s="40" t="s">
        <v>90</v>
      </c>
      <c r="B68" s="17">
        <f t="shared" si="52"/>
        <v>2.5130465622941684E-3</v>
      </c>
      <c r="C68" s="17">
        <f t="shared" si="50"/>
        <v>2.9804428231240823E-5</v>
      </c>
      <c r="D68" s="17">
        <f t="shared" si="50"/>
        <v>5.0146932157876086E-6</v>
      </c>
      <c r="E68" s="17">
        <f t="shared" si="50"/>
        <v>4.7081623347013226E-5</v>
      </c>
      <c r="F68" s="40" t="s">
        <v>114</v>
      </c>
      <c r="G68">
        <f>B70*100/B71</f>
        <v>18.105535160442198</v>
      </c>
      <c r="H68">
        <f t="shared" ref="H68:J68" si="56">C70*100/C71</f>
        <v>35.08028473965517</v>
      </c>
      <c r="I68">
        <f t="shared" si="56"/>
        <v>13.215557657095715</v>
      </c>
      <c r="J68">
        <f t="shared" si="56"/>
        <v>14.3700152361712</v>
      </c>
    </row>
    <row r="69" spans="1:10" x14ac:dyDescent="0.3">
      <c r="A69" s="40" t="s">
        <v>91</v>
      </c>
      <c r="B69" s="17">
        <f t="shared" si="52"/>
        <v>1.0823580078026044E-5</v>
      </c>
      <c r="C69" s="17">
        <f t="shared" si="50"/>
        <v>4.542230328824036E-7</v>
      </c>
      <c r="D69" s="17">
        <f t="shared" si="50"/>
        <v>1.17609059127527E-7</v>
      </c>
      <c r="E69" s="17">
        <f t="shared" si="50"/>
        <v>5.4048234280792433E-7</v>
      </c>
    </row>
    <row r="70" spans="1:10" x14ac:dyDescent="0.3">
      <c r="A70" s="40" t="s">
        <v>92</v>
      </c>
      <c r="B70" s="17">
        <f t="shared" si="52"/>
        <v>6.6030805086892633E-4</v>
      </c>
      <c r="C70" s="17">
        <f t="shared" si="50"/>
        <v>4.7499620003039971E-5</v>
      </c>
      <c r="D70" s="17">
        <f t="shared" si="50"/>
        <v>2.0798500278664438E-6</v>
      </c>
      <c r="E70" s="17">
        <f t="shared" si="50"/>
        <v>1.3806556214216954E-5</v>
      </c>
    </row>
    <row r="71" spans="1:10" x14ac:dyDescent="0.3">
      <c r="B71" s="82">
        <f>SUM(B64:B70)</f>
        <v>3.6469954907027411E-3</v>
      </c>
      <c r="C71" s="82">
        <f t="shared" ref="C71:E71" si="57">SUM(C64:C70)</f>
        <v>1.3540260677914577E-4</v>
      </c>
      <c r="D71" s="82">
        <f t="shared" si="57"/>
        <v>1.5737890763540561E-5</v>
      </c>
      <c r="E71" s="82">
        <f t="shared" si="57"/>
        <v>9.6078925368597054E-5</v>
      </c>
    </row>
    <row r="75" spans="1:10" x14ac:dyDescent="0.3">
      <c r="E75" t="s">
        <v>46</v>
      </c>
    </row>
  </sheetData>
  <conditionalFormatting sqref="A64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5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6:A68">
    <cfRule type="cellIs" dxfId="7" priority="5" operator="lessThan">
      <formula>0.06</formula>
    </cfRule>
  </conditionalFormatting>
  <conditionalFormatting sqref="B25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6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7:B29">
    <cfRule type="cellIs" dxfId="6" priority="14" operator="lessThan">
      <formula>0.06</formula>
    </cfRule>
  </conditionalFormatting>
  <conditionalFormatting sqref="B42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3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4:B46">
    <cfRule type="cellIs" dxfId="5" priority="11" operator="lessThan">
      <formula>0.06</formula>
    </cfRule>
  </conditionalFormatting>
  <conditionalFormatting sqref="F6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63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64:F66">
    <cfRule type="cellIs" dxfId="4" priority="2" operator="lessThan">
      <formula>0.06</formula>
    </cfRule>
  </conditionalFormatting>
  <conditionalFormatting sqref="J42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43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44:J46">
    <cfRule type="cellIs" dxfId="3" priority="8" operator="lessThan">
      <formula>0.06</formula>
    </cfRule>
  </conditionalFormatting>
  <conditionalFormatting sqref="R2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2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2:V2">
    <cfRule type="cellIs" dxfId="2" priority="17" operator="lessThan">
      <formula>0.06</formula>
    </cfRule>
  </conditionalFormatting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EBE7D-26B0-4955-BF9D-3F7D4BAB6DD6}">
  <dimension ref="A3:AJ108"/>
  <sheetViews>
    <sheetView workbookViewId="0">
      <selection activeCell="E16" sqref="E16"/>
    </sheetView>
  </sheetViews>
  <sheetFormatPr defaultRowHeight="14.4" x14ac:dyDescent="0.3"/>
  <cols>
    <col min="2" max="2" width="29.21875" customWidth="1"/>
    <col min="3" max="4" width="14.44140625" customWidth="1"/>
    <col min="5" max="5" width="17.33203125" customWidth="1"/>
    <col min="6" max="6" width="17" customWidth="1"/>
    <col min="7" max="7" width="15.77734375" customWidth="1"/>
    <col min="8" max="8" width="19" customWidth="1"/>
    <col min="13" max="13" width="13.5546875" customWidth="1"/>
    <col min="14" max="14" width="13.109375" customWidth="1"/>
    <col min="15" max="15" width="12.6640625" customWidth="1"/>
    <col min="16" max="16" width="11.88671875" customWidth="1"/>
    <col min="17" max="17" width="13.33203125" customWidth="1"/>
    <col min="18" max="18" width="11.88671875" customWidth="1"/>
    <col min="19" max="19" width="12.5546875" customWidth="1"/>
    <col min="21" max="21" width="12" bestFit="1" customWidth="1"/>
    <col min="23" max="23" width="11.109375" bestFit="1" customWidth="1"/>
    <col min="24" max="30" width="9.21875" bestFit="1" customWidth="1"/>
  </cols>
  <sheetData>
    <row r="3" spans="2:9" x14ac:dyDescent="0.3">
      <c r="B3" s="1"/>
      <c r="C3" s="1" t="s">
        <v>96</v>
      </c>
      <c r="D3" s="1" t="s">
        <v>99</v>
      </c>
    </row>
    <row r="4" spans="2:9" x14ac:dyDescent="0.3">
      <c r="B4" t="s">
        <v>127</v>
      </c>
      <c r="C4">
        <v>5.1000000000000004E-3</v>
      </c>
      <c r="D4" s="1">
        <v>6.1500000000000001E-3</v>
      </c>
    </row>
    <row r="5" spans="2:9" x14ac:dyDescent="0.3">
      <c r="B5" t="s">
        <v>128</v>
      </c>
      <c r="C5">
        <v>8.3999999999999995E-3</v>
      </c>
      <c r="D5" s="1">
        <v>1.0129411764705882E-2</v>
      </c>
    </row>
    <row r="6" spans="2:9" x14ac:dyDescent="0.3">
      <c r="B6" t="s">
        <v>110</v>
      </c>
      <c r="C6">
        <v>1.4999999999999999E-2</v>
      </c>
      <c r="D6" s="1">
        <v>1.8088235294117645E-2</v>
      </c>
    </row>
    <row r="7" spans="2:9" x14ac:dyDescent="0.3">
      <c r="B7" t="s">
        <v>111</v>
      </c>
      <c r="C7">
        <v>1.04E-2</v>
      </c>
      <c r="D7" s="1">
        <v>1.2541176470588234E-2</v>
      </c>
    </row>
    <row r="8" spans="2:9" x14ac:dyDescent="0.3">
      <c r="B8" t="s">
        <v>112</v>
      </c>
      <c r="C8">
        <v>3.5E-4</v>
      </c>
      <c r="D8" s="1">
        <v>4.2205882352941177E-4</v>
      </c>
    </row>
    <row r="9" spans="2:9" x14ac:dyDescent="0.3">
      <c r="B9" t="s">
        <v>113</v>
      </c>
      <c r="C9">
        <v>7.0000000000000001E-3</v>
      </c>
      <c r="D9" s="1">
        <v>8.4411764705882349E-3</v>
      </c>
      <c r="I9" t="s">
        <v>46</v>
      </c>
    </row>
    <row r="10" spans="2:9" x14ac:dyDescent="0.3">
      <c r="B10" t="s">
        <v>114</v>
      </c>
      <c r="C10">
        <v>0.05</v>
      </c>
      <c r="D10" s="1">
        <v>6.0294117647058824E-2</v>
      </c>
    </row>
    <row r="12" spans="2:9" x14ac:dyDescent="0.3">
      <c r="B12" s="51"/>
      <c r="C12" s="51" t="s">
        <v>132</v>
      </c>
    </row>
    <row r="13" spans="2:9" x14ac:dyDescent="0.3">
      <c r="B13" s="51" t="s">
        <v>127</v>
      </c>
      <c r="C13" s="51">
        <v>3.7000000000000002E-3</v>
      </c>
    </row>
    <row r="14" spans="2:9" x14ac:dyDescent="0.3">
      <c r="B14" s="51" t="s">
        <v>110</v>
      </c>
      <c r="C14" s="51">
        <v>27</v>
      </c>
      <c r="H14" t="s">
        <v>46</v>
      </c>
    </row>
    <row r="15" spans="2:9" x14ac:dyDescent="0.3">
      <c r="B15" s="51" t="s">
        <v>111</v>
      </c>
      <c r="C15" s="51">
        <v>0.3</v>
      </c>
    </row>
    <row r="16" spans="2:9" x14ac:dyDescent="0.3">
      <c r="B16" s="51" t="s">
        <v>112</v>
      </c>
      <c r="C16" s="51">
        <v>1.1000000000000001</v>
      </c>
    </row>
    <row r="17" spans="1:36" x14ac:dyDescent="0.3">
      <c r="B17" s="51" t="s">
        <v>114</v>
      </c>
      <c r="C17" s="51">
        <v>0.73</v>
      </c>
      <c r="I17" t="s">
        <v>46</v>
      </c>
    </row>
    <row r="18" spans="1:36" x14ac:dyDescent="0.3">
      <c r="O18" t="s">
        <v>46</v>
      </c>
      <c r="U18" s="25" t="s">
        <v>157</v>
      </c>
      <c r="AD18" s="25" t="s">
        <v>157</v>
      </c>
    </row>
    <row r="19" spans="1:36" x14ac:dyDescent="0.3">
      <c r="M19" s="51" t="s">
        <v>158</v>
      </c>
      <c r="U19" s="51" t="s">
        <v>159</v>
      </c>
      <c r="AD19" s="51" t="s">
        <v>161</v>
      </c>
    </row>
    <row r="20" spans="1:36" x14ac:dyDescent="0.3">
      <c r="B20" s="39"/>
      <c r="C20" s="39"/>
      <c r="D20" s="39"/>
      <c r="E20" s="39"/>
      <c r="F20" s="39"/>
      <c r="G20" s="39"/>
      <c r="H20" s="39"/>
      <c r="M20" s="39"/>
      <c r="N20" s="39"/>
      <c r="O20" s="39"/>
      <c r="P20" s="39"/>
      <c r="Q20" s="39"/>
      <c r="R20" s="39"/>
      <c r="S20" s="39"/>
      <c r="U20" s="39"/>
      <c r="V20" s="39"/>
      <c r="W20" s="39"/>
      <c r="X20" s="39"/>
      <c r="Y20" s="39"/>
      <c r="Z20" s="39"/>
      <c r="AA20" s="39"/>
      <c r="AD20" s="39"/>
      <c r="AE20" s="39"/>
      <c r="AF20" s="39"/>
      <c r="AG20" s="39"/>
      <c r="AH20" s="39"/>
      <c r="AI20" s="39"/>
      <c r="AJ20" s="39"/>
    </row>
    <row r="21" spans="1:36" x14ac:dyDescent="0.3">
      <c r="B21" s="46" t="s">
        <v>169</v>
      </c>
      <c r="C21" s="46" t="s">
        <v>87</v>
      </c>
      <c r="D21" s="46" t="s">
        <v>88</v>
      </c>
      <c r="E21" s="46" t="s">
        <v>89</v>
      </c>
      <c r="F21" s="46" t="s">
        <v>90</v>
      </c>
      <c r="G21" s="46" t="s">
        <v>91</v>
      </c>
      <c r="H21" s="46" t="s">
        <v>92</v>
      </c>
      <c r="M21" s="46" t="s">
        <v>130</v>
      </c>
      <c r="N21" s="46" t="s">
        <v>128</v>
      </c>
      <c r="O21" s="46" t="s">
        <v>110</v>
      </c>
      <c r="P21" s="46" t="s">
        <v>111</v>
      </c>
      <c r="Q21" s="46" t="s">
        <v>112</v>
      </c>
      <c r="R21" s="46" t="s">
        <v>113</v>
      </c>
      <c r="S21" s="46" t="s">
        <v>114</v>
      </c>
      <c r="U21" s="46" t="s">
        <v>130</v>
      </c>
      <c r="V21" s="46" t="s">
        <v>128</v>
      </c>
      <c r="W21" s="46" t="s">
        <v>110</v>
      </c>
      <c r="X21" s="46" t="s">
        <v>111</v>
      </c>
      <c r="Y21" s="46" t="s">
        <v>112</v>
      </c>
      <c r="Z21" s="46" t="s">
        <v>113</v>
      </c>
      <c r="AA21" s="46" t="s">
        <v>114</v>
      </c>
      <c r="AD21" s="46" t="s">
        <v>130</v>
      </c>
      <c r="AE21" s="46" t="s">
        <v>128</v>
      </c>
      <c r="AF21" s="46" t="s">
        <v>110</v>
      </c>
      <c r="AG21" s="46" t="s">
        <v>111</v>
      </c>
      <c r="AH21" s="46" t="s">
        <v>112</v>
      </c>
      <c r="AI21" s="46" t="s">
        <v>113</v>
      </c>
      <c r="AJ21" s="46" t="s">
        <v>114</v>
      </c>
    </row>
    <row r="22" spans="1:36" x14ac:dyDescent="0.3">
      <c r="A22" t="s">
        <v>134</v>
      </c>
      <c r="B22" s="39">
        <v>3.77</v>
      </c>
      <c r="C22" s="39">
        <v>0.67149999999999999</v>
      </c>
      <c r="D22" s="39">
        <v>187.1</v>
      </c>
      <c r="E22" s="39">
        <v>101.9</v>
      </c>
      <c r="F22" s="39">
        <v>312.7</v>
      </c>
      <c r="G22" s="39">
        <v>5.6829999999999998</v>
      </c>
      <c r="H22" s="39">
        <v>47.75</v>
      </c>
      <c r="L22" t="s">
        <v>134</v>
      </c>
      <c r="M22">
        <f>B22/1000</f>
        <v>3.7699999999999999E-3</v>
      </c>
      <c r="N22">
        <f t="shared" ref="N22:S37" si="0">C22/1000</f>
        <v>6.715E-4</v>
      </c>
      <c r="O22">
        <f t="shared" si="0"/>
        <v>0.18709999999999999</v>
      </c>
      <c r="P22">
        <f t="shared" si="0"/>
        <v>0.1019</v>
      </c>
      <c r="Q22">
        <f t="shared" si="0"/>
        <v>0.31269999999999998</v>
      </c>
      <c r="R22">
        <f t="shared" si="0"/>
        <v>5.6829999999999997E-3</v>
      </c>
      <c r="S22">
        <f t="shared" si="0"/>
        <v>4.7750000000000001E-2</v>
      </c>
      <c r="U22">
        <f>(M22*0.5)/3400</f>
        <v>5.5441176470588236E-7</v>
      </c>
      <c r="V22">
        <f t="shared" ref="V22:AA37" si="1">(N22*0.5)/3400</f>
        <v>9.8749999999999994E-8</v>
      </c>
      <c r="W22">
        <f t="shared" si="1"/>
        <v>2.751470588235294E-5</v>
      </c>
      <c r="X22">
        <f t="shared" si="1"/>
        <v>1.498529411764706E-5</v>
      </c>
      <c r="Y22">
        <f t="shared" si="1"/>
        <v>4.5985294117647054E-5</v>
      </c>
      <c r="Z22">
        <f t="shared" si="1"/>
        <v>8.3573529411764697E-7</v>
      </c>
      <c r="AA22">
        <f t="shared" si="1"/>
        <v>7.022058823529412E-6</v>
      </c>
      <c r="AC22" t="s">
        <v>134</v>
      </c>
      <c r="AD22" s="78">
        <f>(B22*0.5)/3400</f>
        <v>5.5441176470588237E-4</v>
      </c>
      <c r="AE22" s="78">
        <f t="shared" ref="AE22:AJ37" si="2">(C22*0.5)/3400</f>
        <v>9.8750000000000002E-5</v>
      </c>
      <c r="AF22" s="78">
        <f t="shared" si="2"/>
        <v>2.7514705882352941E-2</v>
      </c>
      <c r="AG22" s="78">
        <f t="shared" si="2"/>
        <v>1.498529411764706E-2</v>
      </c>
      <c r="AH22" s="78">
        <f t="shared" si="2"/>
        <v>4.5985294117647055E-2</v>
      </c>
      <c r="AI22" s="78">
        <f t="shared" si="2"/>
        <v>8.3573529411764701E-4</v>
      </c>
      <c r="AJ22" s="78">
        <f t="shared" si="2"/>
        <v>7.0220588235294116E-3</v>
      </c>
    </row>
    <row r="23" spans="1:36" x14ac:dyDescent="0.3">
      <c r="A23" t="s">
        <v>135</v>
      </c>
      <c r="B23" s="39">
        <v>49.28</v>
      </c>
      <c r="C23" s="39">
        <v>0.70499999999999996</v>
      </c>
      <c r="D23" s="39">
        <v>213.5</v>
      </c>
      <c r="E23" s="39">
        <v>85.31</v>
      </c>
      <c r="F23" s="39">
        <v>1984</v>
      </c>
      <c r="G23" s="39">
        <v>7.5469999999999997</v>
      </c>
      <c r="H23" s="39">
        <v>521.29999999999995</v>
      </c>
      <c r="L23" t="s">
        <v>135</v>
      </c>
      <c r="M23">
        <f t="shared" ref="M23:S48" si="3">B23/1000</f>
        <v>4.9280000000000004E-2</v>
      </c>
      <c r="N23">
        <f t="shared" si="0"/>
        <v>7.0500000000000001E-4</v>
      </c>
      <c r="O23">
        <f t="shared" si="0"/>
        <v>0.2135</v>
      </c>
      <c r="P23">
        <f t="shared" si="0"/>
        <v>8.5309999999999997E-2</v>
      </c>
      <c r="Q23">
        <f t="shared" si="0"/>
        <v>1.984</v>
      </c>
      <c r="R23">
        <f t="shared" si="0"/>
        <v>7.5469999999999999E-3</v>
      </c>
      <c r="S23">
        <f t="shared" si="0"/>
        <v>0.52129999999999999</v>
      </c>
      <c r="U23">
        <f t="shared" ref="U23:AA48" si="4">(M23*0.5)/3400</f>
        <v>7.2470588235294124E-6</v>
      </c>
      <c r="V23">
        <f t="shared" si="1"/>
        <v>1.036764705882353E-7</v>
      </c>
      <c r="W23">
        <f t="shared" si="1"/>
        <v>3.1397058823529412E-5</v>
      </c>
      <c r="X23">
        <f t="shared" si="1"/>
        <v>1.2545588235294117E-5</v>
      </c>
      <c r="Y23">
        <f t="shared" si="1"/>
        <v>2.9176470588235292E-4</v>
      </c>
      <c r="Z23">
        <f t="shared" si="1"/>
        <v>1.1098529411764707E-6</v>
      </c>
      <c r="AA23">
        <f t="shared" si="1"/>
        <v>7.6661764705882347E-5</v>
      </c>
      <c r="AC23" t="s">
        <v>135</v>
      </c>
      <c r="AD23" s="78">
        <f t="shared" ref="AD23:AJ48" si="5">(B23*0.5)/3400</f>
        <v>7.247058823529412E-3</v>
      </c>
      <c r="AE23" s="78">
        <f t="shared" si="2"/>
        <v>1.0367647058823529E-4</v>
      </c>
      <c r="AF23" s="78">
        <f t="shared" si="2"/>
        <v>3.139705882352941E-2</v>
      </c>
      <c r="AG23" s="78">
        <f t="shared" si="2"/>
        <v>1.2545588235294117E-2</v>
      </c>
      <c r="AH23" s="78">
        <f t="shared" si="2"/>
        <v>0.29176470588235293</v>
      </c>
      <c r="AI23" s="78">
        <f t="shared" si="2"/>
        <v>1.1098529411764705E-3</v>
      </c>
      <c r="AJ23" s="78">
        <f t="shared" si="2"/>
        <v>7.6661764705882346E-2</v>
      </c>
    </row>
    <row r="24" spans="1:36" x14ac:dyDescent="0.3">
      <c r="A24" t="s">
        <v>136</v>
      </c>
      <c r="B24" s="39">
        <v>7.69</v>
      </c>
      <c r="C24" s="39">
        <v>0.14410000000000001</v>
      </c>
      <c r="D24" s="39">
        <v>31.46</v>
      </c>
      <c r="E24" s="39">
        <v>11.26</v>
      </c>
      <c r="F24" s="39">
        <v>266.3</v>
      </c>
      <c r="G24" s="39">
        <v>8.0890000000000004</v>
      </c>
      <c r="H24" s="39">
        <v>59.56</v>
      </c>
      <c r="L24" t="s">
        <v>136</v>
      </c>
      <c r="M24">
        <f t="shared" si="3"/>
        <v>7.6900000000000007E-3</v>
      </c>
      <c r="N24">
        <f t="shared" si="0"/>
        <v>1.4410000000000001E-4</v>
      </c>
      <c r="O24">
        <f t="shared" si="0"/>
        <v>3.1460000000000002E-2</v>
      </c>
      <c r="P24">
        <f t="shared" si="0"/>
        <v>1.1259999999999999E-2</v>
      </c>
      <c r="Q24">
        <f t="shared" si="0"/>
        <v>0.26630000000000004</v>
      </c>
      <c r="R24">
        <f t="shared" si="0"/>
        <v>8.0890000000000007E-3</v>
      </c>
      <c r="S24">
        <f t="shared" si="0"/>
        <v>5.9560000000000002E-2</v>
      </c>
      <c r="U24">
        <f t="shared" si="4"/>
        <v>1.1308823529411766E-6</v>
      </c>
      <c r="V24">
        <f t="shared" si="1"/>
        <v>2.1191176470588236E-8</v>
      </c>
      <c r="W24">
        <f t="shared" si="1"/>
        <v>4.626470588235294E-6</v>
      </c>
      <c r="X24">
        <f t="shared" si="1"/>
        <v>1.6558823529411762E-6</v>
      </c>
      <c r="Y24">
        <f t="shared" si="1"/>
        <v>3.9161764705882357E-5</v>
      </c>
      <c r="Z24">
        <f t="shared" si="1"/>
        <v>1.1895588235294119E-6</v>
      </c>
      <c r="AA24">
        <f t="shared" si="1"/>
        <v>8.7588235294117648E-6</v>
      </c>
      <c r="AC24" t="s">
        <v>136</v>
      </c>
      <c r="AD24" s="78">
        <f t="shared" si="5"/>
        <v>1.1308823529411764E-3</v>
      </c>
      <c r="AE24" s="78">
        <f t="shared" si="2"/>
        <v>2.1191176470588235E-5</v>
      </c>
      <c r="AF24" s="78">
        <f t="shared" si="2"/>
        <v>4.6264705882352944E-3</v>
      </c>
      <c r="AG24" s="78">
        <f t="shared" si="2"/>
        <v>1.6558823529411765E-3</v>
      </c>
      <c r="AH24" s="78">
        <f t="shared" si="2"/>
        <v>3.9161764705882354E-2</v>
      </c>
      <c r="AI24" s="78">
        <f t="shared" si="2"/>
        <v>1.1895588235294118E-3</v>
      </c>
      <c r="AJ24" s="78">
        <f t="shared" si="2"/>
        <v>8.7588235294117651E-3</v>
      </c>
    </row>
    <row r="25" spans="1:36" x14ac:dyDescent="0.3">
      <c r="A25" t="s">
        <v>137</v>
      </c>
      <c r="B25" s="39">
        <v>32.299999999999997</v>
      </c>
      <c r="C25" s="39">
        <v>0.23319999999999999</v>
      </c>
      <c r="D25" s="39">
        <v>68.58</v>
      </c>
      <c r="E25" s="39">
        <v>49.45</v>
      </c>
      <c r="F25" s="39">
        <v>348.2</v>
      </c>
      <c r="G25" s="39">
        <v>6.5960000000000001</v>
      </c>
      <c r="H25" s="39">
        <v>61.51</v>
      </c>
      <c r="L25" t="s">
        <v>137</v>
      </c>
      <c r="M25">
        <f t="shared" si="3"/>
        <v>3.2299999999999995E-2</v>
      </c>
      <c r="N25">
        <f t="shared" si="0"/>
        <v>2.332E-4</v>
      </c>
      <c r="O25">
        <f t="shared" si="0"/>
        <v>6.8580000000000002E-2</v>
      </c>
      <c r="P25">
        <f t="shared" si="0"/>
        <v>4.9450000000000001E-2</v>
      </c>
      <c r="Q25">
        <f t="shared" si="0"/>
        <v>0.34820000000000001</v>
      </c>
      <c r="R25">
        <f t="shared" si="0"/>
        <v>6.5960000000000003E-3</v>
      </c>
      <c r="S25">
        <f t="shared" si="0"/>
        <v>6.1509999999999995E-2</v>
      </c>
      <c r="U25">
        <f t="shared" si="4"/>
        <v>4.7499999999999994E-6</v>
      </c>
      <c r="V25">
        <f t="shared" si="1"/>
        <v>3.4294117647058822E-8</v>
      </c>
      <c r="W25">
        <f t="shared" si="1"/>
        <v>1.0085294117647059E-5</v>
      </c>
      <c r="X25">
        <f t="shared" si="1"/>
        <v>7.2720588235294121E-6</v>
      </c>
      <c r="Y25">
        <f t="shared" si="1"/>
        <v>5.1205882352941175E-5</v>
      </c>
      <c r="Z25">
        <f t="shared" si="1"/>
        <v>9.7000000000000003E-7</v>
      </c>
      <c r="AA25">
        <f t="shared" si="1"/>
        <v>9.045588235294117E-6</v>
      </c>
      <c r="AC25" t="s">
        <v>137</v>
      </c>
      <c r="AD25" s="78">
        <f t="shared" si="5"/>
        <v>4.7499999999999999E-3</v>
      </c>
      <c r="AE25" s="78">
        <f t="shared" si="2"/>
        <v>3.4294117647058823E-5</v>
      </c>
      <c r="AF25" s="78">
        <f t="shared" si="2"/>
        <v>1.0085294117647059E-2</v>
      </c>
      <c r="AG25" s="78">
        <f t="shared" si="2"/>
        <v>7.2720588235294118E-3</v>
      </c>
      <c r="AH25" s="78">
        <f t="shared" si="2"/>
        <v>5.1205882352941177E-2</v>
      </c>
      <c r="AI25" s="78">
        <f t="shared" si="2"/>
        <v>9.7000000000000005E-4</v>
      </c>
      <c r="AJ25" s="78">
        <f t="shared" si="2"/>
        <v>9.0455882352941178E-3</v>
      </c>
    </row>
    <row r="26" spans="1:36" x14ac:dyDescent="0.3">
      <c r="A26" t="s">
        <v>138</v>
      </c>
      <c r="B26" s="39">
        <v>27.18</v>
      </c>
      <c r="C26" s="39">
        <v>0.59009999999999996</v>
      </c>
      <c r="D26" s="39">
        <v>192.2</v>
      </c>
      <c r="E26" s="39">
        <v>32.67</v>
      </c>
      <c r="F26" s="39">
        <v>1590</v>
      </c>
      <c r="G26" s="39">
        <v>8.5449999999999999</v>
      </c>
      <c r="H26" s="39">
        <v>96.29</v>
      </c>
      <c r="L26" t="s">
        <v>138</v>
      </c>
      <c r="M26">
        <f t="shared" si="3"/>
        <v>2.7179999999999999E-2</v>
      </c>
      <c r="N26">
        <f t="shared" si="0"/>
        <v>5.9009999999999998E-4</v>
      </c>
      <c r="O26">
        <f t="shared" si="0"/>
        <v>0.19219999999999998</v>
      </c>
      <c r="P26">
        <f t="shared" si="0"/>
        <v>3.2670000000000005E-2</v>
      </c>
      <c r="Q26">
        <f t="shared" si="0"/>
        <v>1.59</v>
      </c>
      <c r="R26">
        <f t="shared" si="0"/>
        <v>8.5450000000000005E-3</v>
      </c>
      <c r="S26">
        <f t="shared" si="0"/>
        <v>9.6290000000000001E-2</v>
      </c>
      <c r="U26">
        <f t="shared" si="4"/>
        <v>3.9970588235294113E-6</v>
      </c>
      <c r="V26">
        <f t="shared" si="1"/>
        <v>8.6779411764705879E-8</v>
      </c>
      <c r="W26">
        <f t="shared" si="1"/>
        <v>2.8264705882352938E-5</v>
      </c>
      <c r="X26">
        <f t="shared" si="1"/>
        <v>4.8044117647058834E-6</v>
      </c>
      <c r="Y26">
        <f t="shared" si="1"/>
        <v>2.3382352941176473E-4</v>
      </c>
      <c r="Z26">
        <f t="shared" si="1"/>
        <v>1.2566176470588236E-6</v>
      </c>
      <c r="AA26">
        <f t="shared" si="1"/>
        <v>1.4160294117647058E-5</v>
      </c>
      <c r="AC26" t="s">
        <v>138</v>
      </c>
      <c r="AD26" s="78">
        <f t="shared" si="5"/>
        <v>3.9970588235294117E-3</v>
      </c>
      <c r="AE26" s="78">
        <f t="shared" si="2"/>
        <v>8.6779411764705873E-5</v>
      </c>
      <c r="AF26" s="78">
        <f t="shared" si="2"/>
        <v>2.8264705882352938E-2</v>
      </c>
      <c r="AG26" s="78">
        <f t="shared" si="2"/>
        <v>4.8044117647058826E-3</v>
      </c>
      <c r="AH26" s="78">
        <f t="shared" si="2"/>
        <v>0.23382352941176471</v>
      </c>
      <c r="AI26" s="78">
        <f t="shared" si="2"/>
        <v>1.2566176470588234E-3</v>
      </c>
      <c r="AJ26" s="78">
        <f t="shared" si="2"/>
        <v>1.4160294117647059E-2</v>
      </c>
    </row>
    <row r="27" spans="1:36" s="1" customFormat="1" x14ac:dyDescent="0.3">
      <c r="A27" s="1" t="s">
        <v>160</v>
      </c>
      <c r="B27" s="46">
        <v>24.044</v>
      </c>
      <c r="C27" s="46">
        <v>0.46878000000000003</v>
      </c>
      <c r="D27" s="46">
        <v>138.56799999999998</v>
      </c>
      <c r="E27" s="46">
        <v>56.118000000000009</v>
      </c>
      <c r="F27" s="46">
        <v>900.24</v>
      </c>
      <c r="G27" s="46">
        <v>7.2919999999999998</v>
      </c>
      <c r="H27" s="46">
        <v>157.28199999999998</v>
      </c>
      <c r="L27" s="1" t="s">
        <v>160</v>
      </c>
      <c r="M27" s="1">
        <f t="shared" si="3"/>
        <v>2.4043999999999999E-2</v>
      </c>
      <c r="N27" s="1">
        <f t="shared" si="0"/>
        <v>4.6878000000000002E-4</v>
      </c>
      <c r="O27" s="1">
        <f t="shared" si="0"/>
        <v>0.138568</v>
      </c>
      <c r="P27" s="1">
        <f t="shared" si="0"/>
        <v>5.6118000000000008E-2</v>
      </c>
      <c r="Q27" s="1">
        <f t="shared" si="0"/>
        <v>0.90024000000000004</v>
      </c>
      <c r="R27" s="1">
        <f t="shared" si="0"/>
        <v>7.2919999999999999E-3</v>
      </c>
      <c r="S27" s="1">
        <f t="shared" si="0"/>
        <v>0.15728199999999998</v>
      </c>
      <c r="U27">
        <f t="shared" si="4"/>
        <v>3.5358823529411762E-6</v>
      </c>
      <c r="V27">
        <f t="shared" si="1"/>
        <v>6.8938235294117656E-8</v>
      </c>
      <c r="W27">
        <f t="shared" si="1"/>
        <v>2.0377647058823529E-5</v>
      </c>
      <c r="X27">
        <f t="shared" si="1"/>
        <v>8.252647058823531E-6</v>
      </c>
      <c r="Y27">
        <f t="shared" si="1"/>
        <v>1.3238823529411765E-4</v>
      </c>
      <c r="Z27">
        <f t="shared" si="1"/>
        <v>1.0723529411764706E-6</v>
      </c>
      <c r="AA27">
        <f t="shared" si="1"/>
        <v>2.3129705882352937E-5</v>
      </c>
      <c r="AC27" s="1" t="s">
        <v>160</v>
      </c>
      <c r="AD27" s="78">
        <f t="shared" si="5"/>
        <v>3.5358823529411765E-3</v>
      </c>
      <c r="AE27" s="78">
        <f t="shared" si="2"/>
        <v>6.8938235294117655E-5</v>
      </c>
      <c r="AF27" s="78">
        <f t="shared" si="2"/>
        <v>2.0377647058823528E-2</v>
      </c>
      <c r="AG27" s="78">
        <f t="shared" si="2"/>
        <v>8.2526470588235312E-3</v>
      </c>
      <c r="AH27" s="78">
        <f t="shared" si="2"/>
        <v>0.13238823529411764</v>
      </c>
      <c r="AI27" s="78">
        <f t="shared" si="2"/>
        <v>1.0723529411764705E-3</v>
      </c>
      <c r="AJ27" s="78">
        <f t="shared" si="2"/>
        <v>2.3129705882352938E-2</v>
      </c>
    </row>
    <row r="28" spans="1:36" x14ac:dyDescent="0.3">
      <c r="B28" s="39"/>
      <c r="C28" s="39"/>
      <c r="D28" s="39"/>
      <c r="E28" s="39"/>
      <c r="F28" s="39"/>
      <c r="G28" s="39"/>
      <c r="H28" s="39"/>
      <c r="M28">
        <f t="shared" si="3"/>
        <v>0</v>
      </c>
      <c r="N28">
        <f t="shared" si="0"/>
        <v>0</v>
      </c>
      <c r="O28">
        <f t="shared" si="0"/>
        <v>0</v>
      </c>
      <c r="P28">
        <f t="shared" si="0"/>
        <v>0</v>
      </c>
      <c r="Q28">
        <f t="shared" si="0"/>
        <v>0</v>
      </c>
      <c r="R28">
        <f t="shared" si="0"/>
        <v>0</v>
      </c>
      <c r="AD28" s="78"/>
      <c r="AE28" s="78"/>
      <c r="AF28" s="78"/>
      <c r="AG28" s="78"/>
      <c r="AH28" s="78"/>
      <c r="AI28" s="78"/>
      <c r="AJ28" s="78"/>
    </row>
    <row r="29" spans="1:36" x14ac:dyDescent="0.3">
      <c r="A29" t="s">
        <v>139</v>
      </c>
      <c r="B29" s="39">
        <v>2.0099999999999998</v>
      </c>
      <c r="C29" s="39">
        <v>0.71050000000000002</v>
      </c>
      <c r="D29" s="39">
        <v>90.68</v>
      </c>
      <c r="E29" s="39">
        <v>215.2</v>
      </c>
      <c r="F29" s="39">
        <v>235.3</v>
      </c>
      <c r="G29" s="39">
        <v>2.2050000000000001</v>
      </c>
      <c r="H29" s="39">
        <v>216.3</v>
      </c>
      <c r="L29" t="s">
        <v>139</v>
      </c>
      <c r="M29">
        <f t="shared" si="3"/>
        <v>2.0099999999999996E-3</v>
      </c>
      <c r="N29">
        <f t="shared" si="0"/>
        <v>7.1049999999999998E-4</v>
      </c>
      <c r="O29">
        <f t="shared" si="0"/>
        <v>9.0680000000000011E-2</v>
      </c>
      <c r="P29">
        <f t="shared" si="0"/>
        <v>0.2152</v>
      </c>
      <c r="Q29">
        <f t="shared" si="0"/>
        <v>0.23530000000000001</v>
      </c>
      <c r="R29">
        <f t="shared" si="0"/>
        <v>2.2049999999999999E-3</v>
      </c>
      <c r="S29">
        <f t="shared" si="0"/>
        <v>0.21630000000000002</v>
      </c>
      <c r="U29">
        <f t="shared" si="4"/>
        <v>2.955882352941176E-7</v>
      </c>
      <c r="V29">
        <f t="shared" si="1"/>
        <v>1.0448529411764706E-7</v>
      </c>
      <c r="W29">
        <f t="shared" si="1"/>
        <v>1.333529411764706E-5</v>
      </c>
      <c r="X29">
        <f t="shared" si="1"/>
        <v>3.1647058823529412E-5</v>
      </c>
      <c r="Y29">
        <f t="shared" si="1"/>
        <v>3.4602941176470593E-5</v>
      </c>
      <c r="Z29">
        <f t="shared" si="1"/>
        <v>3.2426470588235294E-7</v>
      </c>
      <c r="AA29">
        <f t="shared" si="1"/>
        <v>3.1808823529411769E-5</v>
      </c>
      <c r="AC29" t="s">
        <v>139</v>
      </c>
      <c r="AD29" s="78">
        <f t="shared" si="5"/>
        <v>2.9558823529411763E-4</v>
      </c>
      <c r="AE29" s="78">
        <f t="shared" si="2"/>
        <v>1.0448529411764707E-4</v>
      </c>
      <c r="AF29" s="78">
        <f t="shared" si="2"/>
        <v>1.333529411764706E-2</v>
      </c>
      <c r="AG29" s="78">
        <f t="shared" si="2"/>
        <v>3.164705882352941E-2</v>
      </c>
      <c r="AH29" s="78">
        <f t="shared" si="2"/>
        <v>3.4602941176470593E-2</v>
      </c>
      <c r="AI29" s="78">
        <f t="shared" si="2"/>
        <v>3.2426470588235295E-4</v>
      </c>
      <c r="AJ29" s="78">
        <f t="shared" si="2"/>
        <v>3.1808823529411764E-2</v>
      </c>
    </row>
    <row r="30" spans="1:36" x14ac:dyDescent="0.3">
      <c r="A30" t="s">
        <v>140</v>
      </c>
      <c r="B30" s="39">
        <v>3.9079999999999999</v>
      </c>
      <c r="C30" s="39">
        <v>0.06</v>
      </c>
      <c r="D30" s="39">
        <v>212.2</v>
      </c>
      <c r="E30" s="39">
        <v>162.9</v>
      </c>
      <c r="F30" s="39">
        <v>132.69999999999999</v>
      </c>
      <c r="G30" s="39">
        <v>2.2360000000000002</v>
      </c>
      <c r="H30" s="39">
        <v>375</v>
      </c>
      <c r="L30" t="s">
        <v>140</v>
      </c>
      <c r="M30">
        <f t="shared" si="3"/>
        <v>3.908E-3</v>
      </c>
      <c r="N30">
        <f t="shared" si="0"/>
        <v>5.9999999999999995E-5</v>
      </c>
      <c r="O30">
        <f t="shared" si="0"/>
        <v>0.2122</v>
      </c>
      <c r="P30">
        <f t="shared" si="0"/>
        <v>0.16290000000000002</v>
      </c>
      <c r="Q30">
        <f t="shared" si="0"/>
        <v>0.13269999999999998</v>
      </c>
      <c r="R30">
        <f t="shared" si="0"/>
        <v>2.2360000000000001E-3</v>
      </c>
      <c r="S30">
        <f t="shared" si="0"/>
        <v>0.375</v>
      </c>
      <c r="U30">
        <f t="shared" si="4"/>
        <v>5.7470588235294119E-7</v>
      </c>
      <c r="V30">
        <f t="shared" si="1"/>
        <v>8.8235294117647043E-9</v>
      </c>
      <c r="W30">
        <f t="shared" si="1"/>
        <v>3.1205882352941176E-5</v>
      </c>
      <c r="X30">
        <f t="shared" si="1"/>
        <v>2.395588235294118E-5</v>
      </c>
      <c r="Y30">
        <f t="shared" si="1"/>
        <v>1.9514705882352939E-5</v>
      </c>
      <c r="Z30">
        <f t="shared" si="1"/>
        <v>3.2882352941176473E-7</v>
      </c>
      <c r="AA30">
        <f t="shared" si="1"/>
        <v>5.5147058823529414E-5</v>
      </c>
      <c r="AC30" t="s">
        <v>140</v>
      </c>
      <c r="AD30" s="78">
        <f t="shared" si="5"/>
        <v>5.7470588235294115E-4</v>
      </c>
      <c r="AE30" s="78">
        <f t="shared" si="2"/>
        <v>8.8235294117647051E-6</v>
      </c>
      <c r="AF30" s="78">
        <f t="shared" si="2"/>
        <v>3.1205882352941174E-2</v>
      </c>
      <c r="AG30" s="78">
        <f t="shared" si="2"/>
        <v>2.3955882352941178E-2</v>
      </c>
      <c r="AH30" s="78">
        <f t="shared" si="2"/>
        <v>1.9514705882352941E-2</v>
      </c>
      <c r="AI30" s="78">
        <f t="shared" si="2"/>
        <v>3.2882352941176476E-4</v>
      </c>
      <c r="AJ30" s="78">
        <f t="shared" si="2"/>
        <v>5.514705882352941E-2</v>
      </c>
    </row>
    <row r="31" spans="1:36" x14ac:dyDescent="0.3">
      <c r="A31" t="s">
        <v>142</v>
      </c>
      <c r="B31" s="39">
        <v>26.98</v>
      </c>
      <c r="C31" s="39">
        <v>0.48070000000000002</v>
      </c>
      <c r="D31" s="39">
        <v>167.4</v>
      </c>
      <c r="E31" s="39">
        <v>83.4</v>
      </c>
      <c r="F31" s="39">
        <v>113</v>
      </c>
      <c r="G31" s="39">
        <v>2.94</v>
      </c>
      <c r="H31" s="39">
        <v>135.5</v>
      </c>
      <c r="L31" t="s">
        <v>142</v>
      </c>
      <c r="M31">
        <f t="shared" si="3"/>
        <v>2.6980000000000001E-2</v>
      </c>
      <c r="N31">
        <f t="shared" si="0"/>
        <v>4.8070000000000003E-4</v>
      </c>
      <c r="O31">
        <f t="shared" si="0"/>
        <v>0.16739999999999999</v>
      </c>
      <c r="P31">
        <f t="shared" si="0"/>
        <v>8.3400000000000002E-2</v>
      </c>
      <c r="Q31">
        <f t="shared" si="0"/>
        <v>0.113</v>
      </c>
      <c r="R31">
        <f t="shared" si="0"/>
        <v>2.9399999999999999E-3</v>
      </c>
      <c r="S31">
        <f t="shared" si="0"/>
        <v>0.13550000000000001</v>
      </c>
      <c r="U31">
        <f t="shared" si="4"/>
        <v>3.9676470588235296E-6</v>
      </c>
      <c r="V31">
        <f t="shared" si="1"/>
        <v>7.0691176470588236E-8</v>
      </c>
      <c r="W31">
        <f t="shared" si="1"/>
        <v>2.4617647058823529E-5</v>
      </c>
      <c r="X31">
        <f t="shared" si="1"/>
        <v>1.2264705882352942E-5</v>
      </c>
      <c r="Y31">
        <f t="shared" si="1"/>
        <v>1.6617647058823531E-5</v>
      </c>
      <c r="Z31">
        <f t="shared" si="1"/>
        <v>4.3235294117647058E-7</v>
      </c>
      <c r="AA31">
        <f t="shared" si="1"/>
        <v>1.9926470588235296E-5</v>
      </c>
      <c r="AC31" t="s">
        <v>142</v>
      </c>
      <c r="AD31" s="78">
        <f t="shared" si="5"/>
        <v>3.9676470588235297E-3</v>
      </c>
      <c r="AE31" s="78">
        <f t="shared" si="2"/>
        <v>7.0691176470588242E-5</v>
      </c>
      <c r="AF31" s="78">
        <f t="shared" si="2"/>
        <v>2.4617647058823529E-2</v>
      </c>
      <c r="AG31" s="78">
        <f t="shared" si="2"/>
        <v>1.2264705882352941E-2</v>
      </c>
      <c r="AH31" s="78">
        <f t="shared" si="2"/>
        <v>1.6617647058823529E-2</v>
      </c>
      <c r="AI31" s="78">
        <f t="shared" si="2"/>
        <v>4.3235294117647058E-4</v>
      </c>
      <c r="AJ31" s="78">
        <f t="shared" si="2"/>
        <v>1.9926470588235295E-2</v>
      </c>
    </row>
    <row r="32" spans="1:36" x14ac:dyDescent="0.3">
      <c r="A32" t="s">
        <v>141</v>
      </c>
      <c r="B32" s="39">
        <v>6.734</v>
      </c>
      <c r="C32" s="39">
        <v>0.06</v>
      </c>
      <c r="D32" s="39">
        <v>57.81</v>
      </c>
      <c r="E32" s="39">
        <v>57.1</v>
      </c>
      <c r="F32" s="39">
        <v>168.4</v>
      </c>
      <c r="G32" s="39">
        <v>3.5859999999999999</v>
      </c>
      <c r="H32" s="39">
        <v>146.4</v>
      </c>
      <c r="L32" t="s">
        <v>141</v>
      </c>
      <c r="M32">
        <f t="shared" si="3"/>
        <v>6.7340000000000004E-3</v>
      </c>
      <c r="N32">
        <f t="shared" si="0"/>
        <v>5.9999999999999995E-5</v>
      </c>
      <c r="O32">
        <f t="shared" si="0"/>
        <v>5.781E-2</v>
      </c>
      <c r="P32">
        <f t="shared" si="0"/>
        <v>5.7099999999999998E-2</v>
      </c>
      <c r="Q32">
        <f t="shared" si="0"/>
        <v>0.16839999999999999</v>
      </c>
      <c r="R32">
        <f t="shared" si="0"/>
        <v>3.5859999999999998E-3</v>
      </c>
      <c r="S32">
        <f t="shared" si="0"/>
        <v>0.1464</v>
      </c>
      <c r="U32">
        <f t="shared" si="4"/>
        <v>9.9029411764705886E-7</v>
      </c>
      <c r="V32">
        <f t="shared" si="1"/>
        <v>8.8235294117647043E-9</v>
      </c>
      <c r="W32">
        <f t="shared" si="1"/>
        <v>8.5014705882352942E-6</v>
      </c>
      <c r="X32">
        <f t="shared" si="1"/>
        <v>8.3970588235294107E-6</v>
      </c>
      <c r="Y32">
        <f t="shared" si="1"/>
        <v>2.4764705882352941E-5</v>
      </c>
      <c r="Z32">
        <f t="shared" si="1"/>
        <v>5.2735294117647052E-7</v>
      </c>
      <c r="AA32">
        <f t="shared" si="1"/>
        <v>2.1529411764705882E-5</v>
      </c>
      <c r="AC32" t="s">
        <v>141</v>
      </c>
      <c r="AD32" s="78">
        <f t="shared" si="5"/>
        <v>9.9029411764705883E-4</v>
      </c>
      <c r="AE32" s="78">
        <f t="shared" si="2"/>
        <v>8.8235294117647051E-6</v>
      </c>
      <c r="AF32" s="78">
        <f t="shared" si="2"/>
        <v>8.5014705882352944E-3</v>
      </c>
      <c r="AG32" s="78">
        <f t="shared" si="2"/>
        <v>8.397058823529412E-3</v>
      </c>
      <c r="AH32" s="78">
        <f t="shared" si="2"/>
        <v>2.4764705882352942E-2</v>
      </c>
      <c r="AI32" s="78">
        <f t="shared" si="2"/>
        <v>5.2735294117647056E-4</v>
      </c>
      <c r="AJ32" s="78">
        <f t="shared" si="2"/>
        <v>2.1529411764705884E-2</v>
      </c>
    </row>
    <row r="33" spans="1:36" x14ac:dyDescent="0.3">
      <c r="A33" t="s">
        <v>143</v>
      </c>
      <c r="B33" s="39">
        <v>3.1509999999999998</v>
      </c>
      <c r="C33" s="39">
        <v>0.53949999999999998</v>
      </c>
      <c r="D33" s="39">
        <v>199</v>
      </c>
      <c r="E33" s="39">
        <v>118.2</v>
      </c>
      <c r="F33" s="39">
        <v>189.6</v>
      </c>
      <c r="G33" s="39">
        <v>2.8879999999999999</v>
      </c>
      <c r="H33" s="39">
        <v>288.8</v>
      </c>
      <c r="L33" t="s">
        <v>143</v>
      </c>
      <c r="M33">
        <f t="shared" si="3"/>
        <v>3.1509999999999997E-3</v>
      </c>
      <c r="N33">
        <f t="shared" si="0"/>
        <v>5.3949999999999994E-4</v>
      </c>
      <c r="O33">
        <f t="shared" si="0"/>
        <v>0.19900000000000001</v>
      </c>
      <c r="P33">
        <f t="shared" si="0"/>
        <v>0.1182</v>
      </c>
      <c r="Q33">
        <f t="shared" si="0"/>
        <v>0.18959999999999999</v>
      </c>
      <c r="R33">
        <f t="shared" si="0"/>
        <v>2.8879999999999999E-3</v>
      </c>
      <c r="S33">
        <f t="shared" si="0"/>
        <v>0.2888</v>
      </c>
      <c r="U33">
        <f t="shared" si="4"/>
        <v>4.6338235294117644E-7</v>
      </c>
      <c r="V33">
        <f t="shared" si="1"/>
        <v>7.9338235294117643E-8</v>
      </c>
      <c r="W33">
        <f t="shared" si="1"/>
        <v>2.9264705882352942E-5</v>
      </c>
      <c r="X33">
        <f t="shared" si="1"/>
        <v>1.7382352941176472E-5</v>
      </c>
      <c r="Y33">
        <f t="shared" si="1"/>
        <v>2.788235294117647E-5</v>
      </c>
      <c r="Z33">
        <f t="shared" si="1"/>
        <v>4.2470588235294115E-7</v>
      </c>
      <c r="AA33">
        <f t="shared" si="1"/>
        <v>4.2470588235294118E-5</v>
      </c>
      <c r="AC33" t="s">
        <v>143</v>
      </c>
      <c r="AD33" s="78">
        <f t="shared" si="5"/>
        <v>4.6338235294117642E-4</v>
      </c>
      <c r="AE33" s="78">
        <f t="shared" si="2"/>
        <v>7.933823529411765E-5</v>
      </c>
      <c r="AF33" s="78">
        <f t="shared" si="2"/>
        <v>2.9264705882352943E-2</v>
      </c>
      <c r="AG33" s="78">
        <f t="shared" si="2"/>
        <v>1.738235294117647E-2</v>
      </c>
      <c r="AH33" s="78">
        <f t="shared" si="2"/>
        <v>2.7882352941176469E-2</v>
      </c>
      <c r="AI33" s="78">
        <f t="shared" si="2"/>
        <v>4.2470588235294114E-4</v>
      </c>
      <c r="AJ33" s="78">
        <f t="shared" si="2"/>
        <v>4.2470588235294121E-2</v>
      </c>
    </row>
    <row r="34" spans="1:36" s="1" customFormat="1" x14ac:dyDescent="0.3">
      <c r="A34" s="1" t="s">
        <v>160</v>
      </c>
      <c r="B34" s="46">
        <v>8.5565999999999995</v>
      </c>
      <c r="C34" s="46">
        <v>0.57690000000000008</v>
      </c>
      <c r="D34" s="46">
        <v>145.41799999999998</v>
      </c>
      <c r="E34" s="46">
        <v>127.36000000000001</v>
      </c>
      <c r="F34" s="46">
        <v>167.8</v>
      </c>
      <c r="G34" s="46">
        <v>2.7709999999999999</v>
      </c>
      <c r="H34" s="46">
        <v>232.4</v>
      </c>
      <c r="L34" s="1" t="s">
        <v>160</v>
      </c>
      <c r="M34" s="1">
        <f t="shared" si="3"/>
        <v>8.5565999999999993E-3</v>
      </c>
      <c r="N34" s="1">
        <f t="shared" si="0"/>
        <v>5.7690000000000009E-4</v>
      </c>
      <c r="O34" s="1">
        <f t="shared" si="0"/>
        <v>0.14541799999999999</v>
      </c>
      <c r="P34" s="1">
        <f t="shared" si="0"/>
        <v>0.12736</v>
      </c>
      <c r="Q34" s="1">
        <f t="shared" si="0"/>
        <v>0.1678</v>
      </c>
      <c r="R34" s="1">
        <f t="shared" si="0"/>
        <v>2.771E-3</v>
      </c>
      <c r="S34" s="1">
        <f t="shared" si="0"/>
        <v>0.2324</v>
      </c>
      <c r="U34">
        <f t="shared" si="4"/>
        <v>1.2583235294117645E-6</v>
      </c>
      <c r="V34">
        <f t="shared" si="1"/>
        <v>8.483823529411766E-8</v>
      </c>
      <c r="W34">
        <f t="shared" si="1"/>
        <v>2.1384999999999999E-5</v>
      </c>
      <c r="X34">
        <f t="shared" si="1"/>
        <v>1.8729411764705882E-5</v>
      </c>
      <c r="Y34">
        <f t="shared" si="1"/>
        <v>2.4676470588235296E-5</v>
      </c>
      <c r="Z34">
        <f t="shared" si="1"/>
        <v>4.0750000000000002E-7</v>
      </c>
      <c r="AA34">
        <f t="shared" si="1"/>
        <v>3.4176470588235297E-5</v>
      </c>
      <c r="AC34" s="1" t="s">
        <v>160</v>
      </c>
      <c r="AD34" s="78">
        <f t="shared" si="5"/>
        <v>1.2583235294117646E-3</v>
      </c>
      <c r="AE34" s="78">
        <f t="shared" si="2"/>
        <v>8.4838235294117662E-5</v>
      </c>
      <c r="AF34" s="78">
        <f t="shared" si="2"/>
        <v>2.1384999999999998E-2</v>
      </c>
      <c r="AG34" s="78">
        <f t="shared" si="2"/>
        <v>1.8729411764705883E-2</v>
      </c>
      <c r="AH34" s="78">
        <f t="shared" si="2"/>
        <v>2.4676470588235296E-2</v>
      </c>
      <c r="AI34" s="78">
        <f t="shared" si="2"/>
        <v>4.0749999999999998E-4</v>
      </c>
      <c r="AJ34" s="78">
        <f t="shared" si="2"/>
        <v>3.4176470588235294E-2</v>
      </c>
    </row>
    <row r="35" spans="1:36" x14ac:dyDescent="0.3">
      <c r="B35" s="39"/>
      <c r="C35" s="39"/>
      <c r="D35" s="39"/>
      <c r="E35" s="39"/>
      <c r="F35" s="39"/>
      <c r="G35" s="39"/>
      <c r="H35" s="39"/>
      <c r="M35">
        <f t="shared" si="3"/>
        <v>0</v>
      </c>
      <c r="N35">
        <f t="shared" si="0"/>
        <v>0</v>
      </c>
      <c r="O35">
        <f t="shared" si="0"/>
        <v>0</v>
      </c>
      <c r="P35">
        <f t="shared" si="0"/>
        <v>0</v>
      </c>
      <c r="Q35">
        <f t="shared" si="0"/>
        <v>0</v>
      </c>
      <c r="R35">
        <f t="shared" si="0"/>
        <v>0</v>
      </c>
      <c r="AD35" s="78"/>
      <c r="AE35" s="78"/>
      <c r="AF35" s="78"/>
      <c r="AG35" s="78"/>
      <c r="AH35" s="78"/>
      <c r="AI35" s="78"/>
      <c r="AJ35" s="78"/>
    </row>
    <row r="36" spans="1:36" x14ac:dyDescent="0.3">
      <c r="A36" t="s">
        <v>144</v>
      </c>
      <c r="B36" s="39">
        <v>2.9830000000000001</v>
      </c>
      <c r="C36" s="39">
        <v>0.28839999999999999</v>
      </c>
      <c r="D36" s="39">
        <v>12.04</v>
      </c>
      <c r="E36" s="39">
        <v>41.31</v>
      </c>
      <c r="F36" s="39">
        <v>20.23</v>
      </c>
      <c r="G36" s="39">
        <v>0.92849999999999999</v>
      </c>
      <c r="H36" s="39">
        <v>10.1</v>
      </c>
      <c r="L36" t="s">
        <v>144</v>
      </c>
      <c r="M36">
        <f t="shared" si="3"/>
        <v>2.983E-3</v>
      </c>
      <c r="N36">
        <f t="shared" si="0"/>
        <v>2.8839999999999996E-4</v>
      </c>
      <c r="O36">
        <f t="shared" si="0"/>
        <v>1.2039999999999999E-2</v>
      </c>
      <c r="P36">
        <f t="shared" si="0"/>
        <v>4.1309999999999999E-2</v>
      </c>
      <c r="Q36">
        <f t="shared" si="0"/>
        <v>2.0230000000000001E-2</v>
      </c>
      <c r="R36">
        <f t="shared" si="0"/>
        <v>9.2849999999999996E-4</v>
      </c>
      <c r="S36">
        <f t="shared" si="0"/>
        <v>1.01E-2</v>
      </c>
      <c r="U36">
        <f t="shared" si="4"/>
        <v>4.3867647058823528E-7</v>
      </c>
      <c r="V36">
        <f t="shared" si="1"/>
        <v>4.2411764705882345E-8</v>
      </c>
      <c r="W36">
        <f t="shared" si="1"/>
        <v>1.7705882352941174E-6</v>
      </c>
      <c r="X36">
        <f t="shared" si="1"/>
        <v>6.0750000000000003E-6</v>
      </c>
      <c r="Y36">
        <f t="shared" si="1"/>
        <v>2.9750000000000003E-6</v>
      </c>
      <c r="Z36">
        <f t="shared" si="1"/>
        <v>1.3654411764705883E-7</v>
      </c>
      <c r="AA36">
        <f t="shared" si="1"/>
        <v>1.4852941176470588E-6</v>
      </c>
      <c r="AC36" t="s">
        <v>144</v>
      </c>
      <c r="AD36" s="78">
        <f t="shared" si="5"/>
        <v>4.386764705882353E-4</v>
      </c>
      <c r="AE36" s="78">
        <f t="shared" si="2"/>
        <v>4.2411764705882355E-5</v>
      </c>
      <c r="AF36" s="78">
        <f t="shared" si="2"/>
        <v>1.7705882352941175E-3</v>
      </c>
      <c r="AG36" s="78">
        <f t="shared" si="2"/>
        <v>6.0750000000000005E-3</v>
      </c>
      <c r="AH36" s="78">
        <f t="shared" si="2"/>
        <v>2.9750000000000002E-3</v>
      </c>
      <c r="AI36" s="78">
        <f t="shared" si="2"/>
        <v>1.3654411764705881E-4</v>
      </c>
      <c r="AJ36" s="78">
        <f t="shared" si="2"/>
        <v>1.4852941176470588E-3</v>
      </c>
    </row>
    <row r="37" spans="1:36" x14ac:dyDescent="0.3">
      <c r="A37" t="s">
        <v>145</v>
      </c>
      <c r="B37" s="39">
        <v>0.95309999999999995</v>
      </c>
      <c r="C37" s="39">
        <v>0.43969999999999998</v>
      </c>
      <c r="D37" s="39">
        <v>20.37</v>
      </c>
      <c r="E37" s="39">
        <v>21.32</v>
      </c>
      <c r="F37" s="39">
        <v>39.590000000000003</v>
      </c>
      <c r="G37" s="39">
        <v>0.49280000000000002</v>
      </c>
      <c r="H37" s="39">
        <v>14.72</v>
      </c>
      <c r="L37" t="s">
        <v>145</v>
      </c>
      <c r="M37">
        <f t="shared" si="3"/>
        <v>9.5309999999999991E-4</v>
      </c>
      <c r="N37">
        <f t="shared" si="0"/>
        <v>4.3969999999999995E-4</v>
      </c>
      <c r="O37">
        <f t="shared" si="0"/>
        <v>2.0370000000000003E-2</v>
      </c>
      <c r="P37">
        <f t="shared" si="0"/>
        <v>2.1319999999999999E-2</v>
      </c>
      <c r="Q37">
        <f t="shared" si="0"/>
        <v>3.959E-2</v>
      </c>
      <c r="R37">
        <f t="shared" si="0"/>
        <v>4.9280000000000005E-4</v>
      </c>
      <c r="S37">
        <f t="shared" si="0"/>
        <v>1.472E-2</v>
      </c>
      <c r="U37">
        <f t="shared" si="4"/>
        <v>1.4016176470588234E-7</v>
      </c>
      <c r="V37">
        <f t="shared" si="1"/>
        <v>6.4661764705882349E-8</v>
      </c>
      <c r="W37">
        <f t="shared" si="1"/>
        <v>2.9955882352941182E-6</v>
      </c>
      <c r="X37">
        <f t="shared" si="1"/>
        <v>3.1352941176470587E-6</v>
      </c>
      <c r="Y37">
        <f t="shared" si="1"/>
        <v>5.8220588235294116E-6</v>
      </c>
      <c r="Z37">
        <f t="shared" si="1"/>
        <v>7.2470588235294121E-8</v>
      </c>
      <c r="AA37">
        <f t="shared" si="1"/>
        <v>2.1647058823529414E-6</v>
      </c>
      <c r="AC37" t="s">
        <v>145</v>
      </c>
      <c r="AD37" s="78">
        <f t="shared" si="5"/>
        <v>1.4016176470588233E-4</v>
      </c>
      <c r="AE37" s="78">
        <f t="shared" si="2"/>
        <v>6.4661764705882353E-5</v>
      </c>
      <c r="AF37" s="78">
        <f t="shared" si="2"/>
        <v>2.9955882352941179E-3</v>
      </c>
      <c r="AG37" s="78">
        <f t="shared" si="2"/>
        <v>3.135294117647059E-3</v>
      </c>
      <c r="AH37" s="78">
        <f t="shared" si="2"/>
        <v>5.8220588235294119E-3</v>
      </c>
      <c r="AI37" s="78">
        <f t="shared" si="2"/>
        <v>7.2470588235294122E-5</v>
      </c>
      <c r="AJ37" s="78">
        <f t="shared" si="2"/>
        <v>2.1647058823529414E-3</v>
      </c>
    </row>
    <row r="38" spans="1:36" x14ac:dyDescent="0.3">
      <c r="A38" t="s">
        <v>146</v>
      </c>
      <c r="B38" s="39">
        <v>3.2589999999999999</v>
      </c>
      <c r="C38" s="39">
        <v>0.36049999999999999</v>
      </c>
      <c r="D38" s="39">
        <v>16.89</v>
      </c>
      <c r="E38" s="39">
        <v>7.3849999999999998</v>
      </c>
      <c r="F38" s="39">
        <v>7.4569999999999999</v>
      </c>
      <c r="G38" s="39">
        <v>4.9770000000000002E-2</v>
      </c>
      <c r="H38" s="39">
        <v>16.420000000000002</v>
      </c>
      <c r="L38" t="s">
        <v>146</v>
      </c>
      <c r="M38">
        <f t="shared" si="3"/>
        <v>3.2589999999999997E-3</v>
      </c>
      <c r="N38">
        <f t="shared" si="3"/>
        <v>3.6049999999999998E-4</v>
      </c>
      <c r="O38">
        <f t="shared" si="3"/>
        <v>1.6890000000000002E-2</v>
      </c>
      <c r="P38">
        <f t="shared" si="3"/>
        <v>7.3850000000000001E-3</v>
      </c>
      <c r="Q38">
        <f t="shared" si="3"/>
        <v>7.4570000000000001E-3</v>
      </c>
      <c r="R38">
        <f t="shared" si="3"/>
        <v>4.977E-5</v>
      </c>
      <c r="S38">
        <f t="shared" si="3"/>
        <v>1.6420000000000001E-2</v>
      </c>
      <c r="U38">
        <f t="shared" si="4"/>
        <v>4.7926470588235294E-7</v>
      </c>
      <c r="V38">
        <f t="shared" si="4"/>
        <v>5.3014705882352941E-8</v>
      </c>
      <c r="W38">
        <f t="shared" si="4"/>
        <v>2.4838235294117651E-6</v>
      </c>
      <c r="X38">
        <f t="shared" si="4"/>
        <v>1.0860294117647059E-6</v>
      </c>
      <c r="Y38">
        <f t="shared" si="4"/>
        <v>1.0966176470588234E-6</v>
      </c>
      <c r="Z38">
        <f t="shared" si="4"/>
        <v>7.3191176470588232E-9</v>
      </c>
      <c r="AA38">
        <f t="shared" si="4"/>
        <v>2.4147058823529412E-6</v>
      </c>
      <c r="AC38" t="s">
        <v>146</v>
      </c>
      <c r="AD38" s="78">
        <f t="shared" si="5"/>
        <v>4.7926470588235292E-4</v>
      </c>
      <c r="AE38" s="78">
        <f t="shared" si="5"/>
        <v>5.301470588235294E-5</v>
      </c>
      <c r="AF38" s="78">
        <f t="shared" si="5"/>
        <v>2.4838235294117649E-3</v>
      </c>
      <c r="AG38" s="78">
        <f t="shared" si="5"/>
        <v>1.086029411764706E-3</v>
      </c>
      <c r="AH38" s="78">
        <f t="shared" si="5"/>
        <v>1.0966176470588234E-3</v>
      </c>
      <c r="AI38" s="78">
        <f t="shared" si="5"/>
        <v>7.319117647058824E-6</v>
      </c>
      <c r="AJ38" s="78">
        <f t="shared" si="5"/>
        <v>2.4147058823529416E-3</v>
      </c>
    </row>
    <row r="39" spans="1:36" x14ac:dyDescent="0.3">
      <c r="A39" t="s">
        <v>147</v>
      </c>
      <c r="B39" s="39">
        <v>4.234</v>
      </c>
      <c r="C39" s="39">
        <v>0.12839999999999999</v>
      </c>
      <c r="D39" s="39">
        <v>4.9880000000000004</v>
      </c>
      <c r="E39" s="39">
        <v>27.19</v>
      </c>
      <c r="F39" s="39">
        <v>25.09</v>
      </c>
      <c r="G39" s="39">
        <v>0.27360000000000001</v>
      </c>
      <c r="H39" s="39">
        <v>10.56</v>
      </c>
      <c r="L39" t="s">
        <v>147</v>
      </c>
      <c r="M39">
        <f t="shared" si="3"/>
        <v>4.2339999999999999E-3</v>
      </c>
      <c r="N39">
        <f t="shared" si="3"/>
        <v>1.2839999999999998E-4</v>
      </c>
      <c r="O39">
        <f t="shared" si="3"/>
        <v>4.9880000000000002E-3</v>
      </c>
      <c r="P39">
        <f t="shared" si="3"/>
        <v>2.7190000000000002E-2</v>
      </c>
      <c r="Q39">
        <f t="shared" si="3"/>
        <v>2.5090000000000001E-2</v>
      </c>
      <c r="R39">
        <f t="shared" si="3"/>
        <v>2.7360000000000004E-4</v>
      </c>
      <c r="S39">
        <f t="shared" si="3"/>
        <v>1.056E-2</v>
      </c>
      <c r="U39">
        <f t="shared" si="4"/>
        <v>6.2264705882352937E-7</v>
      </c>
      <c r="V39">
        <f t="shared" si="4"/>
        <v>1.8882352941176467E-8</v>
      </c>
      <c r="W39">
        <f t="shared" si="4"/>
        <v>7.3352941176470591E-7</v>
      </c>
      <c r="X39">
        <f t="shared" si="4"/>
        <v>3.9985294117647064E-6</v>
      </c>
      <c r="Y39">
        <f t="shared" si="4"/>
        <v>3.6897058823529412E-6</v>
      </c>
      <c r="Z39">
        <f t="shared" si="4"/>
        <v>4.0235294117647063E-8</v>
      </c>
      <c r="AA39">
        <f t="shared" si="4"/>
        <v>1.5529411764705883E-6</v>
      </c>
      <c r="AC39" t="s">
        <v>147</v>
      </c>
      <c r="AD39" s="78">
        <f t="shared" si="5"/>
        <v>6.2264705882352942E-4</v>
      </c>
      <c r="AE39" s="78">
        <f t="shared" si="5"/>
        <v>1.8882352941176468E-5</v>
      </c>
      <c r="AF39" s="78">
        <f t="shared" si="5"/>
        <v>7.335294117647059E-4</v>
      </c>
      <c r="AG39" s="78">
        <f t="shared" si="5"/>
        <v>3.9985294117647063E-3</v>
      </c>
      <c r="AH39" s="78">
        <f t="shared" si="5"/>
        <v>3.6897058823529413E-3</v>
      </c>
      <c r="AI39" s="78">
        <f t="shared" si="5"/>
        <v>4.0235294117647063E-5</v>
      </c>
      <c r="AJ39" s="78">
        <f t="shared" si="5"/>
        <v>1.5529411764705883E-3</v>
      </c>
    </row>
    <row r="40" spans="1:36" x14ac:dyDescent="0.3">
      <c r="A40" t="s">
        <v>148</v>
      </c>
      <c r="B40" s="39">
        <v>4.3529999999999998</v>
      </c>
      <c r="C40" s="39">
        <v>1.276</v>
      </c>
      <c r="D40" s="39">
        <v>2.3530000000000002</v>
      </c>
      <c r="E40" s="39">
        <v>5.83</v>
      </c>
      <c r="F40" s="39">
        <v>4.9740000000000002</v>
      </c>
      <c r="G40" s="39">
        <v>0.26050000000000001</v>
      </c>
      <c r="H40" s="39">
        <v>11.55</v>
      </c>
      <c r="L40" t="s">
        <v>148</v>
      </c>
      <c r="M40">
        <f t="shared" si="3"/>
        <v>4.3530000000000001E-3</v>
      </c>
      <c r="N40">
        <f t="shared" si="3"/>
        <v>1.276E-3</v>
      </c>
      <c r="O40">
        <f t="shared" si="3"/>
        <v>2.3530000000000001E-3</v>
      </c>
      <c r="P40">
        <f t="shared" si="3"/>
        <v>5.8300000000000001E-3</v>
      </c>
      <c r="Q40">
        <f t="shared" si="3"/>
        <v>4.9740000000000001E-3</v>
      </c>
      <c r="R40">
        <f t="shared" si="3"/>
        <v>2.6049999999999999E-4</v>
      </c>
      <c r="S40">
        <f t="shared" si="3"/>
        <v>1.1550000000000001E-2</v>
      </c>
      <c r="U40">
        <f t="shared" si="4"/>
        <v>6.4014705882352942E-7</v>
      </c>
      <c r="V40">
        <f t="shared" si="4"/>
        <v>1.8764705882352941E-7</v>
      </c>
      <c r="W40">
        <f t="shared" si="4"/>
        <v>3.4602941176470591E-7</v>
      </c>
      <c r="X40">
        <f t="shared" si="4"/>
        <v>8.5735294117647064E-7</v>
      </c>
      <c r="Y40">
        <f t="shared" si="4"/>
        <v>7.3147058823529415E-7</v>
      </c>
      <c r="Z40">
        <f t="shared" si="4"/>
        <v>3.8308823529411761E-8</v>
      </c>
      <c r="AA40">
        <f t="shared" si="4"/>
        <v>1.698529411764706E-6</v>
      </c>
      <c r="AC40" t="s">
        <v>148</v>
      </c>
      <c r="AD40" s="78">
        <f t="shared" si="5"/>
        <v>6.4014705882352936E-4</v>
      </c>
      <c r="AE40" s="78">
        <f t="shared" si="5"/>
        <v>1.8764705882352942E-4</v>
      </c>
      <c r="AF40" s="78">
        <f t="shared" si="5"/>
        <v>3.4602941176470591E-4</v>
      </c>
      <c r="AG40" s="78">
        <f t="shared" si="5"/>
        <v>8.5735294117647055E-4</v>
      </c>
      <c r="AH40" s="78">
        <f t="shared" si="5"/>
        <v>7.3147058823529415E-4</v>
      </c>
      <c r="AI40" s="78">
        <f t="shared" si="5"/>
        <v>3.8308823529411765E-5</v>
      </c>
      <c r="AJ40" s="78">
        <f t="shared" si="5"/>
        <v>1.6985294117647059E-3</v>
      </c>
    </row>
    <row r="41" spans="1:36" s="1" customFormat="1" x14ac:dyDescent="0.3">
      <c r="A41" s="1" t="s">
        <v>160</v>
      </c>
      <c r="B41" s="46">
        <v>3.1564199999999998</v>
      </c>
      <c r="C41" s="46">
        <v>0.49860000000000004</v>
      </c>
      <c r="D41" s="46">
        <v>11.328199999999999</v>
      </c>
      <c r="E41" s="46">
        <v>20.606999999999999</v>
      </c>
      <c r="F41" s="46">
        <v>19.468200000000003</v>
      </c>
      <c r="G41" s="46">
        <v>0.401034</v>
      </c>
      <c r="H41" s="46">
        <v>12.670000000000002</v>
      </c>
      <c r="L41" s="1" t="s">
        <v>160</v>
      </c>
      <c r="M41" s="1">
        <f t="shared" si="3"/>
        <v>3.1564199999999996E-3</v>
      </c>
      <c r="N41" s="1">
        <f t="shared" si="3"/>
        <v>4.9860000000000008E-4</v>
      </c>
      <c r="O41" s="1">
        <f t="shared" si="3"/>
        <v>1.1328199999999998E-2</v>
      </c>
      <c r="P41" s="1">
        <f t="shared" si="3"/>
        <v>2.0607E-2</v>
      </c>
      <c r="Q41" s="1">
        <f t="shared" si="3"/>
        <v>1.9468200000000001E-2</v>
      </c>
      <c r="R41" s="1">
        <f t="shared" si="3"/>
        <v>4.0103399999999998E-4</v>
      </c>
      <c r="S41" s="1">
        <f t="shared" si="3"/>
        <v>1.2670000000000002E-2</v>
      </c>
      <c r="U41">
        <f t="shared" si="4"/>
        <v>4.6417941176470584E-7</v>
      </c>
      <c r="V41">
        <f t="shared" si="4"/>
        <v>7.3323529411764713E-8</v>
      </c>
      <c r="W41">
        <f t="shared" si="4"/>
        <v>1.665911764705882E-6</v>
      </c>
      <c r="X41">
        <f t="shared" si="4"/>
        <v>3.0304411764705883E-6</v>
      </c>
      <c r="Y41">
        <f t="shared" si="4"/>
        <v>2.8629705882352943E-6</v>
      </c>
      <c r="Z41">
        <f t="shared" si="4"/>
        <v>5.8975588235294112E-8</v>
      </c>
      <c r="AA41">
        <f t="shared" si="4"/>
        <v>1.8632352941176475E-6</v>
      </c>
      <c r="AC41" s="1" t="s">
        <v>160</v>
      </c>
      <c r="AD41" s="78">
        <f t="shared" si="5"/>
        <v>4.6417941176470583E-4</v>
      </c>
      <c r="AE41" s="78">
        <f t="shared" si="5"/>
        <v>7.3323529411764714E-5</v>
      </c>
      <c r="AF41" s="78">
        <f t="shared" si="5"/>
        <v>1.6659117647058821E-3</v>
      </c>
      <c r="AG41" s="78">
        <f t="shared" si="5"/>
        <v>3.0304411764705882E-3</v>
      </c>
      <c r="AH41" s="78">
        <f t="shared" si="5"/>
        <v>2.8629705882352945E-3</v>
      </c>
      <c r="AI41" s="78">
        <f t="shared" si="5"/>
        <v>5.8975588235294117E-5</v>
      </c>
      <c r="AJ41" s="78">
        <f t="shared" si="5"/>
        <v>1.8632352941176473E-3</v>
      </c>
    </row>
    <row r="42" spans="1:36" x14ac:dyDescent="0.3">
      <c r="B42" s="39"/>
      <c r="C42" s="39"/>
      <c r="D42" s="39"/>
      <c r="E42" s="39"/>
      <c r="F42" s="39"/>
      <c r="G42" s="39"/>
      <c r="H42" s="39"/>
      <c r="M42">
        <f t="shared" si="3"/>
        <v>0</v>
      </c>
      <c r="N42">
        <f t="shared" si="3"/>
        <v>0</v>
      </c>
      <c r="O42">
        <f t="shared" si="3"/>
        <v>0</v>
      </c>
      <c r="P42">
        <f t="shared" si="3"/>
        <v>0</v>
      </c>
      <c r="Q42">
        <f t="shared" si="3"/>
        <v>0</v>
      </c>
      <c r="R42">
        <f t="shared" si="3"/>
        <v>0</v>
      </c>
      <c r="AD42" s="78"/>
      <c r="AE42" s="78"/>
      <c r="AF42" s="78"/>
      <c r="AG42" s="78"/>
      <c r="AH42" s="78"/>
      <c r="AI42" s="78"/>
      <c r="AJ42" s="78"/>
    </row>
    <row r="43" spans="1:36" x14ac:dyDescent="0.3">
      <c r="A43" t="s">
        <v>149</v>
      </c>
      <c r="B43" s="39">
        <v>0.06</v>
      </c>
      <c r="C43" s="39">
        <v>0.06</v>
      </c>
      <c r="D43" s="39">
        <v>49.93</v>
      </c>
      <c r="E43" s="39">
        <v>65.650000000000006</v>
      </c>
      <c r="F43" s="39">
        <v>250.3</v>
      </c>
      <c r="G43" s="39">
        <v>1.1910000000000001</v>
      </c>
      <c r="H43" s="39">
        <v>89.27</v>
      </c>
      <c r="L43" t="s">
        <v>149</v>
      </c>
      <c r="M43">
        <f t="shared" si="3"/>
        <v>5.9999999999999995E-5</v>
      </c>
      <c r="N43">
        <f t="shared" si="3"/>
        <v>5.9999999999999995E-5</v>
      </c>
      <c r="O43">
        <f t="shared" si="3"/>
        <v>4.9930000000000002E-2</v>
      </c>
      <c r="P43">
        <f t="shared" si="3"/>
        <v>6.565E-2</v>
      </c>
      <c r="Q43">
        <f t="shared" si="3"/>
        <v>0.25030000000000002</v>
      </c>
      <c r="R43">
        <f t="shared" si="3"/>
        <v>1.191E-3</v>
      </c>
      <c r="S43">
        <f t="shared" si="3"/>
        <v>8.9270000000000002E-2</v>
      </c>
      <c r="U43">
        <f t="shared" si="4"/>
        <v>8.8235294117647043E-9</v>
      </c>
      <c r="V43">
        <f t="shared" si="4"/>
        <v>8.8235294117647043E-9</v>
      </c>
      <c r="W43">
        <f t="shared" si="4"/>
        <v>7.3426470588235295E-6</v>
      </c>
      <c r="X43">
        <f t="shared" si="4"/>
        <v>9.6544117647058818E-6</v>
      </c>
      <c r="Y43">
        <f t="shared" si="4"/>
        <v>3.6808823529411769E-5</v>
      </c>
      <c r="Z43">
        <f t="shared" si="4"/>
        <v>1.7514705882352942E-7</v>
      </c>
      <c r="AA43">
        <f t="shared" si="4"/>
        <v>1.3127941176470589E-5</v>
      </c>
      <c r="AC43" t="s">
        <v>149</v>
      </c>
      <c r="AD43" s="78">
        <f t="shared" si="5"/>
        <v>8.8235294117647051E-6</v>
      </c>
      <c r="AE43" s="78">
        <f t="shared" si="5"/>
        <v>8.8235294117647051E-6</v>
      </c>
      <c r="AF43" s="78">
        <f t="shared" si="5"/>
        <v>7.3426470588235293E-3</v>
      </c>
      <c r="AG43" s="78">
        <f t="shared" si="5"/>
        <v>9.6544117647058836E-3</v>
      </c>
      <c r="AH43" s="78">
        <f t="shared" si="5"/>
        <v>3.6808823529411769E-2</v>
      </c>
      <c r="AI43" s="78">
        <f t="shared" si="5"/>
        <v>1.7514705882352942E-4</v>
      </c>
      <c r="AJ43" s="78">
        <f t="shared" si="5"/>
        <v>1.3127941176470587E-2</v>
      </c>
    </row>
    <row r="44" spans="1:36" x14ac:dyDescent="0.3">
      <c r="A44" t="s">
        <v>150</v>
      </c>
      <c r="B44" s="39">
        <v>5.9989999999999997</v>
      </c>
      <c r="C44" s="39">
        <v>0.76690000000000003</v>
      </c>
      <c r="D44" s="39">
        <v>81.510000000000005</v>
      </c>
      <c r="E44" s="39">
        <v>160.1</v>
      </c>
      <c r="F44" s="39">
        <v>371.7</v>
      </c>
      <c r="G44" s="39">
        <v>4.2670000000000003</v>
      </c>
      <c r="H44" s="39">
        <v>8.8569999999999996E-2</v>
      </c>
      <c r="L44" t="s">
        <v>150</v>
      </c>
      <c r="M44">
        <f t="shared" si="3"/>
        <v>5.999E-3</v>
      </c>
      <c r="N44">
        <f t="shared" si="3"/>
        <v>7.6690000000000005E-4</v>
      </c>
      <c r="O44">
        <f t="shared" si="3"/>
        <v>8.1509999999999999E-2</v>
      </c>
      <c r="P44">
        <f t="shared" si="3"/>
        <v>0.16009999999999999</v>
      </c>
      <c r="Q44">
        <f t="shared" si="3"/>
        <v>0.37169999999999997</v>
      </c>
      <c r="R44">
        <f t="shared" si="3"/>
        <v>4.267E-3</v>
      </c>
      <c r="S44">
        <f t="shared" si="3"/>
        <v>8.8570000000000001E-5</v>
      </c>
      <c r="U44">
        <f t="shared" si="4"/>
        <v>8.8220588235294121E-7</v>
      </c>
      <c r="V44">
        <f t="shared" si="4"/>
        <v>1.1277941176470589E-7</v>
      </c>
      <c r="W44">
        <f t="shared" si="4"/>
        <v>1.1986764705882352E-5</v>
      </c>
      <c r="X44">
        <f t="shared" si="4"/>
        <v>2.3544117647058823E-5</v>
      </c>
      <c r="Y44">
        <f t="shared" si="4"/>
        <v>5.4661764705882347E-5</v>
      </c>
      <c r="Z44">
        <f t="shared" si="4"/>
        <v>6.2750000000000003E-7</v>
      </c>
      <c r="AA44">
        <f t="shared" si="4"/>
        <v>1.3025000000000001E-8</v>
      </c>
      <c r="AC44" t="s">
        <v>150</v>
      </c>
      <c r="AD44" s="78">
        <f t="shared" si="5"/>
        <v>8.8220588235294109E-4</v>
      </c>
      <c r="AE44" s="78">
        <f t="shared" si="5"/>
        <v>1.1277941176470588E-4</v>
      </c>
      <c r="AF44" s="78">
        <f t="shared" si="5"/>
        <v>1.1986764705882353E-2</v>
      </c>
      <c r="AG44" s="78">
        <f t="shared" si="5"/>
        <v>2.3544117647058823E-2</v>
      </c>
      <c r="AH44" s="78">
        <f t="shared" si="5"/>
        <v>5.4661764705882354E-2</v>
      </c>
      <c r="AI44" s="78">
        <f t="shared" si="5"/>
        <v>6.2750000000000002E-4</v>
      </c>
      <c r="AJ44" s="78">
        <f t="shared" si="5"/>
        <v>1.3025E-5</v>
      </c>
    </row>
    <row r="45" spans="1:36" x14ac:dyDescent="0.3">
      <c r="A45" t="s">
        <v>151</v>
      </c>
      <c r="B45" s="39">
        <v>10.18</v>
      </c>
      <c r="C45" s="39">
        <v>0.3695</v>
      </c>
      <c r="D45" s="39">
        <v>58.21</v>
      </c>
      <c r="E45" s="39">
        <v>181.1</v>
      </c>
      <c r="F45" s="39">
        <v>297.39999999999998</v>
      </c>
      <c r="G45" s="39">
        <v>2.048</v>
      </c>
      <c r="H45" s="39">
        <v>109</v>
      </c>
      <c r="L45" t="s">
        <v>151</v>
      </c>
      <c r="M45">
        <f t="shared" si="3"/>
        <v>1.018E-2</v>
      </c>
      <c r="N45">
        <f t="shared" si="3"/>
        <v>3.6949999999999998E-4</v>
      </c>
      <c r="O45">
        <f t="shared" si="3"/>
        <v>5.8209999999999998E-2</v>
      </c>
      <c r="P45">
        <f t="shared" si="3"/>
        <v>0.18109999999999998</v>
      </c>
      <c r="Q45">
        <f t="shared" si="3"/>
        <v>0.2974</v>
      </c>
      <c r="R45">
        <f t="shared" si="3"/>
        <v>2.0479999999999999E-3</v>
      </c>
      <c r="S45">
        <f t="shared" si="3"/>
        <v>0.109</v>
      </c>
      <c r="U45">
        <f t="shared" si="4"/>
        <v>1.4970588235294117E-6</v>
      </c>
      <c r="V45">
        <f t="shared" si="4"/>
        <v>5.4338235294117645E-8</v>
      </c>
      <c r="W45">
        <f t="shared" si="4"/>
        <v>8.5602941176470592E-6</v>
      </c>
      <c r="X45">
        <f t="shared" si="4"/>
        <v>2.663235294117647E-5</v>
      </c>
      <c r="Y45">
        <f t="shared" si="4"/>
        <v>4.373529411764706E-5</v>
      </c>
      <c r="Z45">
        <f t="shared" si="4"/>
        <v>3.0117647058823527E-7</v>
      </c>
      <c r="AA45">
        <f t="shared" si="4"/>
        <v>1.6029411764705881E-5</v>
      </c>
      <c r="AC45" t="s">
        <v>151</v>
      </c>
      <c r="AD45" s="78">
        <f t="shared" si="5"/>
        <v>1.4970588235294117E-3</v>
      </c>
      <c r="AE45" s="78">
        <f t="shared" si="5"/>
        <v>5.4338235294117646E-5</v>
      </c>
      <c r="AF45" s="78">
        <f t="shared" si="5"/>
        <v>8.5602941176470583E-3</v>
      </c>
      <c r="AG45" s="78">
        <f t="shared" si="5"/>
        <v>2.6632352941176468E-2</v>
      </c>
      <c r="AH45" s="78">
        <f t="shared" si="5"/>
        <v>4.3735294117647053E-2</v>
      </c>
      <c r="AI45" s="78">
        <f t="shared" si="5"/>
        <v>3.0117647058823532E-4</v>
      </c>
      <c r="AJ45" s="78">
        <f t="shared" si="5"/>
        <v>1.6029411764705882E-2</v>
      </c>
    </row>
    <row r="46" spans="1:36" x14ac:dyDescent="0.3">
      <c r="A46" t="s">
        <v>152</v>
      </c>
      <c r="B46" s="39">
        <v>1.244</v>
      </c>
      <c r="C46" s="39">
        <v>0.30370000000000003</v>
      </c>
      <c r="D46" s="39">
        <v>58.27</v>
      </c>
      <c r="E46" s="39">
        <v>71.83</v>
      </c>
      <c r="F46" s="39">
        <v>139.5</v>
      </c>
      <c r="G46" s="39">
        <v>1.9259999999999999</v>
      </c>
      <c r="H46" s="39">
        <v>83.35</v>
      </c>
      <c r="L46" t="s">
        <v>152</v>
      </c>
      <c r="M46">
        <f t="shared" si="3"/>
        <v>1.2440000000000001E-3</v>
      </c>
      <c r="N46">
        <f t="shared" si="3"/>
        <v>3.0370000000000001E-4</v>
      </c>
      <c r="O46">
        <f t="shared" si="3"/>
        <v>5.8270000000000002E-2</v>
      </c>
      <c r="P46">
        <f t="shared" si="3"/>
        <v>7.1830000000000005E-2</v>
      </c>
      <c r="Q46">
        <f t="shared" si="3"/>
        <v>0.13950000000000001</v>
      </c>
      <c r="R46">
        <f t="shared" si="3"/>
        <v>1.926E-3</v>
      </c>
      <c r="S46">
        <f t="shared" si="3"/>
        <v>8.3349999999999994E-2</v>
      </c>
      <c r="U46">
        <f t="shared" si="4"/>
        <v>1.8294117647058824E-7</v>
      </c>
      <c r="V46">
        <f t="shared" si="4"/>
        <v>4.4661764705882355E-8</v>
      </c>
      <c r="W46">
        <f t="shared" si="4"/>
        <v>8.569117647058823E-6</v>
      </c>
      <c r="X46">
        <f t="shared" si="4"/>
        <v>1.0563235294117647E-5</v>
      </c>
      <c r="Y46">
        <f t="shared" si="4"/>
        <v>2.0514705882352943E-5</v>
      </c>
      <c r="Z46">
        <f t="shared" si="4"/>
        <v>2.8323529411764707E-7</v>
      </c>
      <c r="AA46">
        <f t="shared" si="4"/>
        <v>1.2257352941176469E-5</v>
      </c>
      <c r="AC46" t="s">
        <v>152</v>
      </c>
      <c r="AD46" s="78">
        <f t="shared" si="5"/>
        <v>1.8294117647058825E-4</v>
      </c>
      <c r="AE46" s="78">
        <f t="shared" si="5"/>
        <v>4.4661764705882355E-5</v>
      </c>
      <c r="AF46" s="78">
        <f t="shared" si="5"/>
        <v>8.5691176470588243E-3</v>
      </c>
      <c r="AG46" s="78">
        <f t="shared" si="5"/>
        <v>1.0563235294117648E-2</v>
      </c>
      <c r="AH46" s="78">
        <f t="shared" si="5"/>
        <v>2.0514705882352942E-2</v>
      </c>
      <c r="AI46" s="78">
        <f t="shared" si="5"/>
        <v>2.8323529411764707E-4</v>
      </c>
      <c r="AJ46" s="78">
        <f t="shared" si="5"/>
        <v>1.2257352941176469E-2</v>
      </c>
    </row>
    <row r="47" spans="1:36" x14ac:dyDescent="0.3">
      <c r="A47" t="s">
        <v>153</v>
      </c>
      <c r="B47" s="39">
        <v>0.49730000000000002</v>
      </c>
      <c r="C47" s="39">
        <v>0.1525</v>
      </c>
      <c r="D47" s="39">
        <v>33.520000000000003</v>
      </c>
      <c r="E47" s="39">
        <v>67.540000000000006</v>
      </c>
      <c r="F47" s="39">
        <v>237</v>
      </c>
      <c r="G47" s="39">
        <v>4.2560000000000002</v>
      </c>
      <c r="H47" s="39">
        <v>47.65</v>
      </c>
      <c r="L47" t="s">
        <v>153</v>
      </c>
      <c r="M47">
        <f t="shared" si="3"/>
        <v>4.973E-4</v>
      </c>
      <c r="N47">
        <f t="shared" si="3"/>
        <v>1.5249999999999999E-4</v>
      </c>
      <c r="O47">
        <f t="shared" si="3"/>
        <v>3.3520000000000001E-2</v>
      </c>
      <c r="P47">
        <f t="shared" si="3"/>
        <v>6.7540000000000003E-2</v>
      </c>
      <c r="Q47">
        <f t="shared" si="3"/>
        <v>0.23699999999999999</v>
      </c>
      <c r="R47">
        <f t="shared" si="3"/>
        <v>4.2560000000000002E-3</v>
      </c>
      <c r="S47">
        <f t="shared" si="3"/>
        <v>4.7649999999999998E-2</v>
      </c>
      <c r="U47">
        <f t="shared" si="4"/>
        <v>7.3132352941176466E-8</v>
      </c>
      <c r="V47">
        <f t="shared" si="4"/>
        <v>2.2426470588235294E-8</v>
      </c>
      <c r="W47">
        <f t="shared" si="4"/>
        <v>4.9294117647058822E-6</v>
      </c>
      <c r="X47">
        <f t="shared" si="4"/>
        <v>9.9323529411764703E-6</v>
      </c>
      <c r="Y47">
        <f t="shared" si="4"/>
        <v>3.4852941176470585E-5</v>
      </c>
      <c r="Z47">
        <f t="shared" si="4"/>
        <v>6.2588235294117648E-7</v>
      </c>
      <c r="AA47">
        <f t="shared" si="4"/>
        <v>7.0073529411764703E-6</v>
      </c>
      <c r="AC47" t="s">
        <v>153</v>
      </c>
      <c r="AD47" s="78">
        <f t="shared" si="5"/>
        <v>7.3132352941176478E-5</v>
      </c>
      <c r="AE47" s="78">
        <f t="shared" si="5"/>
        <v>2.2426470588235292E-5</v>
      </c>
      <c r="AF47" s="78">
        <f t="shared" si="5"/>
        <v>4.9294117647058827E-3</v>
      </c>
      <c r="AG47" s="78">
        <f t="shared" si="5"/>
        <v>9.932352941176472E-3</v>
      </c>
      <c r="AH47" s="78">
        <f t="shared" si="5"/>
        <v>3.4852941176470587E-2</v>
      </c>
      <c r="AI47" s="78">
        <f t="shared" si="5"/>
        <v>6.2588235294117652E-4</v>
      </c>
      <c r="AJ47" s="78">
        <f t="shared" si="5"/>
        <v>7.0073529411764706E-3</v>
      </c>
    </row>
    <row r="48" spans="1:36" s="1" customFormat="1" x14ac:dyDescent="0.3">
      <c r="A48" s="1" t="s">
        <v>160</v>
      </c>
      <c r="B48" s="46">
        <v>4.4800749999999994</v>
      </c>
      <c r="C48" s="46">
        <v>0.39815000000000006</v>
      </c>
      <c r="D48" s="46">
        <v>57.877500000000005</v>
      </c>
      <c r="E48" s="46">
        <v>120.1425</v>
      </c>
      <c r="F48" s="46">
        <v>261.39999999999998</v>
      </c>
      <c r="G48" s="46">
        <v>3.12425</v>
      </c>
      <c r="H48" s="46">
        <v>60.022142500000001</v>
      </c>
      <c r="L48" s="1" t="s">
        <v>160</v>
      </c>
      <c r="M48" s="1">
        <f t="shared" si="3"/>
        <v>4.4800749999999992E-3</v>
      </c>
      <c r="N48" s="1">
        <f t="shared" si="3"/>
        <v>3.9815000000000006E-4</v>
      </c>
      <c r="O48" s="1">
        <f t="shared" si="3"/>
        <v>5.7877500000000005E-2</v>
      </c>
      <c r="P48" s="1">
        <f t="shared" si="3"/>
        <v>0.1201425</v>
      </c>
      <c r="Q48" s="1">
        <f t="shared" si="3"/>
        <v>0.26139999999999997</v>
      </c>
      <c r="R48" s="1">
        <f t="shared" si="3"/>
        <v>3.1242499999999999E-3</v>
      </c>
      <c r="S48" s="1">
        <f t="shared" si="3"/>
        <v>6.00221425E-2</v>
      </c>
      <c r="U48">
        <f t="shared" si="4"/>
        <v>6.5883455882352931E-7</v>
      </c>
      <c r="V48">
        <f t="shared" si="4"/>
        <v>5.8551470588235302E-8</v>
      </c>
      <c r="W48">
        <f t="shared" si="4"/>
        <v>8.5113970588235308E-6</v>
      </c>
      <c r="X48">
        <f t="shared" si="4"/>
        <v>1.7668014705882353E-5</v>
      </c>
      <c r="Y48">
        <f t="shared" si="4"/>
        <v>3.8441176470588231E-5</v>
      </c>
      <c r="Z48">
        <f t="shared" si="4"/>
        <v>4.594485294117647E-7</v>
      </c>
      <c r="AA48">
        <f t="shared" si="4"/>
        <v>8.8267856617647059E-6</v>
      </c>
      <c r="AC48" s="1" t="s">
        <v>160</v>
      </c>
      <c r="AD48" s="78">
        <f t="shared" si="5"/>
        <v>6.5883455882352929E-4</v>
      </c>
      <c r="AE48" s="78">
        <f t="shared" si="5"/>
        <v>5.8551470588235299E-5</v>
      </c>
      <c r="AF48" s="78">
        <f t="shared" si="5"/>
        <v>8.5113970588235298E-3</v>
      </c>
      <c r="AG48" s="78">
        <f t="shared" si="5"/>
        <v>1.7668014705882352E-2</v>
      </c>
      <c r="AH48" s="78">
        <f t="shared" si="5"/>
        <v>3.8441176470588229E-2</v>
      </c>
      <c r="AI48" s="78">
        <f t="shared" si="5"/>
        <v>4.5944852941176469E-4</v>
      </c>
      <c r="AJ48" s="78">
        <f t="shared" si="5"/>
        <v>8.8267856617647057E-3</v>
      </c>
    </row>
    <row r="50" spans="11:30" x14ac:dyDescent="0.3">
      <c r="M50" s="51" t="s">
        <v>131</v>
      </c>
      <c r="W50" s="1" t="s">
        <v>156</v>
      </c>
    </row>
    <row r="51" spans="11:30" x14ac:dyDescent="0.3">
      <c r="L51" t="s">
        <v>129</v>
      </c>
      <c r="M51" s="46" t="s">
        <v>130</v>
      </c>
      <c r="N51" s="46" t="s">
        <v>128</v>
      </c>
      <c r="O51" s="46" t="s">
        <v>110</v>
      </c>
      <c r="P51" s="46" t="s">
        <v>111</v>
      </c>
      <c r="Q51" s="46" t="s">
        <v>112</v>
      </c>
      <c r="R51" s="46" t="s">
        <v>113</v>
      </c>
      <c r="S51" s="46" t="s">
        <v>114</v>
      </c>
      <c r="U51" s="92" t="s">
        <v>125</v>
      </c>
      <c r="W51" s="46" t="s">
        <v>130</v>
      </c>
      <c r="X51" s="46" t="s">
        <v>128</v>
      </c>
      <c r="Y51" s="46" t="s">
        <v>110</v>
      </c>
      <c r="Z51" s="46" t="s">
        <v>111</v>
      </c>
      <c r="AA51" s="46" t="s">
        <v>112</v>
      </c>
      <c r="AB51" s="46" t="s">
        <v>113</v>
      </c>
      <c r="AC51" s="46" t="s">
        <v>114</v>
      </c>
      <c r="AD51" s="90" t="s">
        <v>115</v>
      </c>
    </row>
    <row r="52" spans="11:30" x14ac:dyDescent="0.3">
      <c r="L52" t="s">
        <v>134</v>
      </c>
      <c r="M52" s="78">
        <f>U22/0.00615</f>
        <v>9.0148254423720703E-5</v>
      </c>
      <c r="N52" s="78">
        <f>V22/0.010129412</f>
        <v>9.7488383333603157E-6</v>
      </c>
      <c r="O52" s="78">
        <f>W22/0.018088235</f>
        <v>1.5211382361160688E-3</v>
      </c>
      <c r="P52" s="78">
        <f>X22/0.012541176</f>
        <v>1.1948874744798304E-3</v>
      </c>
      <c r="Q52" s="78">
        <f>Y22/0.000422059</f>
        <v>0.10895465827679791</v>
      </c>
      <c r="R52" s="78">
        <f>Z22/0.008441176</f>
        <v>9.9006974160667545E-5</v>
      </c>
      <c r="S52" s="78">
        <f>AA22/0.060294118</f>
        <v>1.1646341395240928E-4</v>
      </c>
      <c r="U52" s="91">
        <f>SUM(M52:S52)</f>
        <v>0.11198605146826397</v>
      </c>
      <c r="W52" s="78">
        <f>U22/0.1161</f>
        <v>4.775295130972286E-6</v>
      </c>
      <c r="X52" s="78">
        <f t="shared" ref="X52:AC67" si="6">V22/0.1161</f>
        <v>8.5055986218776914E-7</v>
      </c>
      <c r="Y52" s="78">
        <f t="shared" si="6"/>
        <v>2.3699143740183411E-4</v>
      </c>
      <c r="Z52" s="78">
        <f t="shared" si="6"/>
        <v>1.290723007549273E-4</v>
      </c>
      <c r="AA52" s="78">
        <f t="shared" si="6"/>
        <v>3.9608349799868264E-4</v>
      </c>
      <c r="AB52" s="78">
        <f t="shared" si="6"/>
        <v>7.1984090793940312E-6</v>
      </c>
      <c r="AC52" s="78">
        <f t="shared" si="6"/>
        <v>6.0482849470537573E-5</v>
      </c>
      <c r="AD52" s="91">
        <f>SUM(W52:AC52)</f>
        <v>8.3545434969853566E-4</v>
      </c>
    </row>
    <row r="53" spans="11:30" x14ac:dyDescent="0.3">
      <c r="L53" t="s">
        <v>135</v>
      </c>
      <c r="M53" s="78">
        <f t="shared" ref="M53:M78" si="7">U23/0.00615</f>
        <v>1.1783835485413678E-3</v>
      </c>
      <c r="N53" s="78">
        <f t="shared" ref="N53:N78" si="8">V23/0.010129412</f>
        <v>1.023519139987941E-5</v>
      </c>
      <c r="O53" s="78">
        <f t="shared" ref="O53:O78" si="9">W23/0.018088235</f>
        <v>1.7357723859475183E-3</v>
      </c>
      <c r="P53" s="78">
        <f t="shared" ref="P53:P78" si="10">X23/0.012541176</f>
        <v>1.0003518199006311E-3</v>
      </c>
      <c r="Q53" s="78">
        <f t="shared" ref="Q53:Q78" si="11">Y23/0.000422059</f>
        <v>0.69128890956561262</v>
      </c>
      <c r="R53" s="78">
        <f t="shared" ref="R53:R78" si="12">Z23/0.008441176</f>
        <v>1.314808435668763E-4</v>
      </c>
      <c r="S53" s="78">
        <f t="shared" ref="S53:S78" si="13">AA23/0.060294118</f>
        <v>1.2714634071914336E-3</v>
      </c>
      <c r="U53" s="91">
        <f t="shared" ref="U53:U78" si="14">SUM(M53:S53)</f>
        <v>0.69661659676216026</v>
      </c>
      <c r="W53" s="78">
        <f t="shared" ref="W53:AC78" si="15">U23/0.1161</f>
        <v>6.2420833966661613E-5</v>
      </c>
      <c r="X53" s="78">
        <f t="shared" si="6"/>
        <v>8.9299285605715163E-7</v>
      </c>
      <c r="Y53" s="78">
        <f t="shared" si="6"/>
        <v>2.7043116988397431E-4</v>
      </c>
      <c r="Z53" s="78">
        <f t="shared" si="6"/>
        <v>1.0805846886558241E-4</v>
      </c>
      <c r="AA53" s="78">
        <f t="shared" si="6"/>
        <v>2.5130465622941684E-3</v>
      </c>
      <c r="AB53" s="78">
        <f t="shared" si="6"/>
        <v>9.5594568576784728E-6</v>
      </c>
      <c r="AC53" s="78">
        <f t="shared" si="6"/>
        <v>6.6030805086892633E-4</v>
      </c>
      <c r="AD53" s="91">
        <f t="shared" ref="AD53:AD78" si="16">SUM(W53:AC53)</f>
        <v>3.6247175355930486E-3</v>
      </c>
    </row>
    <row r="54" spans="11:30" x14ac:dyDescent="0.3">
      <c r="L54" t="s">
        <v>136</v>
      </c>
      <c r="M54" s="78">
        <f t="shared" si="7"/>
        <v>1.8388330942132952E-4</v>
      </c>
      <c r="N54" s="78">
        <f t="shared" si="8"/>
        <v>2.09204408613138E-6</v>
      </c>
      <c r="O54" s="78">
        <f t="shared" si="9"/>
        <v>2.5577236188247741E-4</v>
      </c>
      <c r="P54" s="78">
        <f t="shared" si="10"/>
        <v>1.3203565223398318E-4</v>
      </c>
      <c r="Q54" s="78">
        <f t="shared" si="11"/>
        <v>9.2787417649860218E-2</v>
      </c>
      <c r="R54" s="78">
        <f t="shared" si="12"/>
        <v>1.4092335280408937E-4</v>
      </c>
      <c r="S54" s="78">
        <f t="shared" si="13"/>
        <v>1.4526829183257587E-4</v>
      </c>
      <c r="U54" s="91">
        <f t="shared" si="14"/>
        <v>9.3647392662120812E-2</v>
      </c>
      <c r="W54" s="78">
        <f t="shared" si="15"/>
        <v>9.7405887419567331E-6</v>
      </c>
      <c r="X54" s="78">
        <f t="shared" si="6"/>
        <v>1.8252520646501495E-7</v>
      </c>
      <c r="Y54" s="78">
        <f t="shared" si="6"/>
        <v>3.9849014541217003E-5</v>
      </c>
      <c r="Z54" s="78">
        <f t="shared" si="6"/>
        <v>1.4262552566246135E-5</v>
      </c>
      <c r="AA54" s="78">
        <f t="shared" si="6"/>
        <v>3.3731063484825459E-4</v>
      </c>
      <c r="AB54" s="78">
        <f t="shared" si="6"/>
        <v>1.0245984698789079E-5</v>
      </c>
      <c r="AC54" s="78">
        <f t="shared" si="6"/>
        <v>7.5442063130161635E-5</v>
      </c>
      <c r="AD54" s="91">
        <f t="shared" si="16"/>
        <v>4.8703336373309019E-4</v>
      </c>
    </row>
    <row r="55" spans="11:30" x14ac:dyDescent="0.3">
      <c r="L55" t="s">
        <v>137</v>
      </c>
      <c r="M55" s="78">
        <f t="shared" si="7"/>
        <v>7.7235772357723566E-4</v>
      </c>
      <c r="N55" s="78">
        <f t="shared" si="8"/>
        <v>3.3855980630523095E-6</v>
      </c>
      <c r="O55" s="78">
        <f t="shared" si="9"/>
        <v>5.575609846757883E-4</v>
      </c>
      <c r="P55" s="78">
        <f t="shared" si="10"/>
        <v>5.7985461838103635E-4</v>
      </c>
      <c r="Q55" s="78">
        <f t="shared" si="11"/>
        <v>0.12132399108404553</v>
      </c>
      <c r="R55" s="78">
        <f t="shared" si="12"/>
        <v>1.1491289839235671E-4</v>
      </c>
      <c r="S55" s="78">
        <f t="shared" si="13"/>
        <v>1.5002438936571088E-4</v>
      </c>
      <c r="U55" s="91">
        <f t="shared" si="14"/>
        <v>0.1235020872965007</v>
      </c>
      <c r="W55" s="78">
        <f t="shared" si="15"/>
        <v>4.0913006029285096E-5</v>
      </c>
      <c r="X55" s="78">
        <f t="shared" si="6"/>
        <v>2.953843035922379E-7</v>
      </c>
      <c r="Y55" s="78">
        <f t="shared" si="6"/>
        <v>8.6867305061559517E-5</v>
      </c>
      <c r="Z55" s="78">
        <f t="shared" si="6"/>
        <v>6.2636165577342054E-5</v>
      </c>
      <c r="AA55" s="78">
        <f t="shared" si="6"/>
        <v>4.4104980493489386E-4</v>
      </c>
      <c r="AB55" s="78">
        <f t="shared" si="6"/>
        <v>8.3548664944013785E-6</v>
      </c>
      <c r="AC55" s="78">
        <f t="shared" si="6"/>
        <v>7.7912043370319701E-5</v>
      </c>
      <c r="AD55" s="91">
        <f t="shared" si="16"/>
        <v>7.1802857577139389E-4</v>
      </c>
    </row>
    <row r="56" spans="11:30" x14ac:dyDescent="0.3">
      <c r="L56" t="s">
        <v>138</v>
      </c>
      <c r="M56" s="78">
        <f t="shared" si="7"/>
        <v>6.4992826398852215E-4</v>
      </c>
      <c r="N56" s="78">
        <f t="shared" si="8"/>
        <v>8.5670729717288498E-6</v>
      </c>
      <c r="O56" s="78">
        <f t="shared" si="9"/>
        <v>1.5626016514244168E-3</v>
      </c>
      <c r="P56" s="78">
        <f t="shared" si="10"/>
        <v>3.8309100874637944E-4</v>
      </c>
      <c r="Q56" s="78">
        <f t="shared" si="11"/>
        <v>0.55400673700066749</v>
      </c>
      <c r="R56" s="78">
        <f t="shared" si="12"/>
        <v>1.4886760411805461E-4</v>
      </c>
      <c r="S56" s="78">
        <f t="shared" si="13"/>
        <v>2.3485365716183223E-4</v>
      </c>
      <c r="U56" s="91">
        <f t="shared" si="14"/>
        <v>0.55699464625907835</v>
      </c>
      <c r="W56" s="78">
        <f t="shared" si="15"/>
        <v>3.4427724578203373E-5</v>
      </c>
      <c r="X56" s="78">
        <f t="shared" si="6"/>
        <v>7.4745402036783709E-7</v>
      </c>
      <c r="Y56" s="78">
        <f t="shared" si="6"/>
        <v>2.4345138572224754E-4</v>
      </c>
      <c r="Z56" s="78">
        <f t="shared" si="6"/>
        <v>4.1381668946648436E-5</v>
      </c>
      <c r="AA56" s="78">
        <f t="shared" si="6"/>
        <v>2.0139838881288951E-3</v>
      </c>
      <c r="AB56" s="78">
        <f t="shared" si="6"/>
        <v>1.0823580078026044E-5</v>
      </c>
      <c r="AC56" s="78">
        <f t="shared" si="6"/>
        <v>1.2196635760247251E-4</v>
      </c>
      <c r="AD56" s="91">
        <f t="shared" si="16"/>
        <v>2.4667820590768609E-3</v>
      </c>
    </row>
    <row r="57" spans="11:30" x14ac:dyDescent="0.3">
      <c r="K57" s="1"/>
      <c r="L57" s="1" t="s">
        <v>160</v>
      </c>
      <c r="M57" s="78">
        <f t="shared" si="7"/>
        <v>5.7494021999043518E-4</v>
      </c>
      <c r="N57" s="78">
        <f t="shared" si="8"/>
        <v>6.8057489708304543E-6</v>
      </c>
      <c r="O57" s="78">
        <f t="shared" si="9"/>
        <v>1.126569124009254E-3</v>
      </c>
      <c r="P57" s="78">
        <f t="shared" si="10"/>
        <v>6.5804411474837214E-4</v>
      </c>
      <c r="Q57" s="78">
        <f t="shared" si="11"/>
        <v>0.31367234271539679</v>
      </c>
      <c r="R57" s="78">
        <f t="shared" si="12"/>
        <v>1.2703833460840891E-4</v>
      </c>
      <c r="S57" s="78">
        <f t="shared" si="13"/>
        <v>3.8361463190079233E-4</v>
      </c>
      <c r="U57" s="91">
        <f t="shared" si="14"/>
        <v>0.31654935488962488</v>
      </c>
      <c r="W57" s="78">
        <f t="shared" si="15"/>
        <v>3.0455489689415816E-5</v>
      </c>
      <c r="X57" s="78">
        <f t="shared" si="6"/>
        <v>5.9378324973400227E-7</v>
      </c>
      <c r="Y57" s="78">
        <f t="shared" si="6"/>
        <v>1.755180625221665E-4</v>
      </c>
      <c r="Z57" s="78">
        <f t="shared" si="6"/>
        <v>7.1082231342149276E-5</v>
      </c>
      <c r="AA57" s="78">
        <f t="shared" si="6"/>
        <v>1.140294877640979E-3</v>
      </c>
      <c r="AB57" s="78">
        <f t="shared" si="6"/>
        <v>9.2364594416578E-6</v>
      </c>
      <c r="AC57" s="78">
        <f t="shared" si="6"/>
        <v>1.9922227288848352E-4</v>
      </c>
      <c r="AD57" s="91">
        <f t="shared" si="16"/>
        <v>1.6264031767745861E-3</v>
      </c>
    </row>
    <row r="58" spans="11:30" x14ac:dyDescent="0.3">
      <c r="M58" s="78"/>
      <c r="N58" s="78"/>
      <c r="O58" s="78"/>
      <c r="P58" s="78"/>
      <c r="Q58" s="78"/>
      <c r="R58" s="78"/>
      <c r="S58" s="78"/>
      <c r="U58" s="91"/>
      <c r="W58" s="78"/>
      <c r="X58" s="78"/>
      <c r="Y58" s="78"/>
      <c r="Z58" s="78"/>
      <c r="AA58" s="78"/>
      <c r="AB58" s="78"/>
      <c r="AC58" s="78"/>
      <c r="AD58" s="91"/>
    </row>
    <row r="59" spans="11:30" x14ac:dyDescent="0.3">
      <c r="L59" t="s">
        <v>139</v>
      </c>
      <c r="M59" s="78">
        <f t="shared" si="7"/>
        <v>4.806312769010042E-5</v>
      </c>
      <c r="N59" s="78">
        <f t="shared" si="8"/>
        <v>1.0315040410800454E-5</v>
      </c>
      <c r="O59" s="78">
        <f t="shared" si="9"/>
        <v>7.372357843452973E-4</v>
      </c>
      <c r="P59" s="78">
        <f t="shared" si="10"/>
        <v>2.5234522522871389E-3</v>
      </c>
      <c r="Q59" s="78">
        <f t="shared" si="11"/>
        <v>8.1986028437897526E-2</v>
      </c>
      <c r="R59" s="78">
        <f t="shared" si="12"/>
        <v>3.8414636287923976E-5</v>
      </c>
      <c r="S59" s="78">
        <f t="shared" si="13"/>
        <v>5.2756097252159434E-4</v>
      </c>
      <c r="U59" s="91">
        <f t="shared" si="14"/>
        <v>8.587107025144039E-2</v>
      </c>
      <c r="W59" s="78">
        <f t="shared" si="15"/>
        <v>2.5459796321629425E-6</v>
      </c>
      <c r="X59" s="78">
        <f t="shared" si="6"/>
        <v>8.9995946699093081E-7</v>
      </c>
      <c r="Y59" s="78">
        <f t="shared" si="6"/>
        <v>1.1486041445001774E-4</v>
      </c>
      <c r="Z59" s="78">
        <f t="shared" si="6"/>
        <v>2.7258448599077874E-4</v>
      </c>
      <c r="AA59" s="78">
        <f t="shared" si="6"/>
        <v>2.9804428231240823E-4</v>
      </c>
      <c r="AB59" s="78">
        <f t="shared" si="6"/>
        <v>2.7929776561787507E-6</v>
      </c>
      <c r="AC59" s="78">
        <f t="shared" si="6"/>
        <v>2.7397780817753462E-4</v>
      </c>
      <c r="AD59" s="91">
        <f t="shared" si="16"/>
        <v>9.65705907686072E-4</v>
      </c>
    </row>
    <row r="60" spans="11:30" x14ac:dyDescent="0.3">
      <c r="L60" t="s">
        <v>140</v>
      </c>
      <c r="M60" s="78">
        <f t="shared" si="7"/>
        <v>9.3448110951697757E-5</v>
      </c>
      <c r="N60" s="78">
        <f t="shared" si="8"/>
        <v>8.7108011913867295E-7</v>
      </c>
      <c r="O60" s="78">
        <f t="shared" si="9"/>
        <v>1.7252032800846061E-3</v>
      </c>
      <c r="P60" s="78">
        <f t="shared" si="10"/>
        <v>1.9101783080742332E-3</v>
      </c>
      <c r="Q60" s="78">
        <f t="shared" si="11"/>
        <v>4.623691446540161E-2</v>
      </c>
      <c r="R60" s="78">
        <f t="shared" si="12"/>
        <v>3.8954706004443546E-5</v>
      </c>
      <c r="S60" s="78">
        <f t="shared" si="13"/>
        <v>9.1463414098750747E-4</v>
      </c>
      <c r="U60" s="91">
        <f t="shared" si="14"/>
        <v>5.092020409162324E-2</v>
      </c>
      <c r="W60" s="78">
        <f t="shared" si="15"/>
        <v>4.9500937325834727E-6</v>
      </c>
      <c r="X60" s="78">
        <f t="shared" si="6"/>
        <v>7.5999392004863951E-8</v>
      </c>
      <c r="Y60" s="78">
        <f t="shared" si="6"/>
        <v>2.6878451639053558E-4</v>
      </c>
      <c r="Z60" s="78">
        <f t="shared" si="6"/>
        <v>2.0633834929320569E-4</v>
      </c>
      <c r="AA60" s="78">
        <f t="shared" si="6"/>
        <v>1.6808532198409078E-4</v>
      </c>
      <c r="AB60" s="78">
        <f t="shared" si="6"/>
        <v>2.8322440087145974E-6</v>
      </c>
      <c r="AC60" s="78">
        <f t="shared" si="6"/>
        <v>4.7499620003039979E-4</v>
      </c>
      <c r="AD60" s="91">
        <f t="shared" si="16"/>
        <v>1.1260627248315348E-3</v>
      </c>
    </row>
    <row r="61" spans="11:30" x14ac:dyDescent="0.3">
      <c r="L61" t="s">
        <v>142</v>
      </c>
      <c r="M61" s="78">
        <f t="shared" si="7"/>
        <v>6.4514586322333815E-4</v>
      </c>
      <c r="N61" s="78">
        <f t="shared" si="8"/>
        <v>6.9788035544993361E-6</v>
      </c>
      <c r="O61" s="78">
        <f t="shared" si="9"/>
        <v>1.3609756318857826E-3</v>
      </c>
      <c r="P61" s="78">
        <f t="shared" si="10"/>
        <v>9.7795500855365905E-4</v>
      </c>
      <c r="Q61" s="78">
        <f t="shared" si="11"/>
        <v>3.9372805837154357E-2</v>
      </c>
      <c r="R61" s="78">
        <f t="shared" si="12"/>
        <v>5.12195150505653E-5</v>
      </c>
      <c r="S61" s="78">
        <f t="shared" si="13"/>
        <v>3.3048780294348603E-4</v>
      </c>
      <c r="U61" s="91">
        <f t="shared" si="14"/>
        <v>4.2745568462365685E-2</v>
      </c>
      <c r="W61" s="78">
        <f t="shared" si="15"/>
        <v>3.4174393271520501E-5</v>
      </c>
      <c r="X61" s="78">
        <f t="shared" si="6"/>
        <v>6.0888179561230184E-7</v>
      </c>
      <c r="Y61" s="78">
        <f t="shared" si="6"/>
        <v>2.1203830369357046E-4</v>
      </c>
      <c r="Z61" s="78">
        <f t="shared" si="6"/>
        <v>1.0563915488676092E-4</v>
      </c>
      <c r="AA61" s="78">
        <f t="shared" si="6"/>
        <v>1.4313218827582714E-4</v>
      </c>
      <c r="AB61" s="78">
        <f t="shared" si="6"/>
        <v>3.7239702082383341E-6</v>
      </c>
      <c r="AC61" s="78">
        <f t="shared" si="6"/>
        <v>1.7163196027765112E-4</v>
      </c>
      <c r="AD61" s="91">
        <f t="shared" si="16"/>
        <v>6.7094885240918077E-4</v>
      </c>
    </row>
    <row r="62" spans="11:30" x14ac:dyDescent="0.3">
      <c r="L62" t="s">
        <v>141</v>
      </c>
      <c r="M62" s="78">
        <f t="shared" si="7"/>
        <v>1.6102343376374941E-4</v>
      </c>
      <c r="N62" s="78">
        <f t="shared" si="8"/>
        <v>8.7108011913867295E-7</v>
      </c>
      <c r="O62" s="78">
        <f t="shared" si="9"/>
        <v>4.700000076422765E-4</v>
      </c>
      <c r="P62" s="78">
        <f t="shared" si="10"/>
        <v>6.6955912456131798E-4</v>
      </c>
      <c r="Q62" s="78">
        <f t="shared" si="11"/>
        <v>5.8675933654661887E-2</v>
      </c>
      <c r="R62" s="78">
        <f t="shared" si="12"/>
        <v>6.2473871078682705E-5</v>
      </c>
      <c r="S62" s="78">
        <f t="shared" si="13"/>
        <v>3.5707316864152291E-4</v>
      </c>
      <c r="U62" s="91">
        <f t="shared" si="14"/>
        <v>6.0396934340468576E-2</v>
      </c>
      <c r="W62" s="78">
        <f t="shared" si="15"/>
        <v>8.5296650960125652E-6</v>
      </c>
      <c r="X62" s="78">
        <f t="shared" si="6"/>
        <v>7.5999392004863951E-8</v>
      </c>
      <c r="Y62" s="78">
        <f t="shared" si="6"/>
        <v>7.3225414196686434E-5</v>
      </c>
      <c r="Z62" s="78">
        <f t="shared" si="6"/>
        <v>7.2326088057962193E-5</v>
      </c>
      <c r="AA62" s="78">
        <f t="shared" si="6"/>
        <v>2.1330496022698486E-4</v>
      </c>
      <c r="AB62" s="78">
        <f t="shared" si="6"/>
        <v>4.5422303288240354E-6</v>
      </c>
      <c r="AC62" s="78">
        <f t="shared" si="6"/>
        <v>1.8543851649186808E-4</v>
      </c>
      <c r="AD62" s="91">
        <f t="shared" si="16"/>
        <v>5.5744287379034304E-4</v>
      </c>
    </row>
    <row r="63" spans="11:30" x14ac:dyDescent="0.3">
      <c r="L63" t="s">
        <v>143</v>
      </c>
      <c r="M63" s="78">
        <f t="shared" si="7"/>
        <v>7.5346724055475847E-5</v>
      </c>
      <c r="N63" s="78">
        <f t="shared" si="8"/>
        <v>7.8324620712552349E-6</v>
      </c>
      <c r="O63" s="78">
        <f t="shared" si="9"/>
        <v>1.6178862051688813E-3</v>
      </c>
      <c r="P63" s="78">
        <f t="shared" si="10"/>
        <v>1.3860225660796463E-3</v>
      </c>
      <c r="Q63" s="78">
        <f t="shared" si="11"/>
        <v>6.6062690148004116E-2</v>
      </c>
      <c r="R63" s="78">
        <f t="shared" si="12"/>
        <v>5.0313591655113117E-5</v>
      </c>
      <c r="S63" s="78">
        <f t="shared" si="13"/>
        <v>7.0439023977917909E-4</v>
      </c>
      <c r="U63" s="91">
        <f t="shared" si="14"/>
        <v>6.9904481936813673E-2</v>
      </c>
      <c r="W63" s="78">
        <f t="shared" si="15"/>
        <v>3.9912347367887721E-6</v>
      </c>
      <c r="X63" s="78">
        <f t="shared" si="6"/>
        <v>6.833611997770684E-7</v>
      </c>
      <c r="Y63" s="78">
        <f t="shared" si="6"/>
        <v>2.5206465014946549E-4</v>
      </c>
      <c r="Z63" s="78">
        <f t="shared" si="6"/>
        <v>1.4971880224958202E-4</v>
      </c>
      <c r="AA63" s="78">
        <f t="shared" si="6"/>
        <v>2.4015807873537011E-4</v>
      </c>
      <c r="AB63" s="78">
        <f t="shared" si="6"/>
        <v>3.658104068500785E-6</v>
      </c>
      <c r="AC63" s="78">
        <f t="shared" si="6"/>
        <v>3.6581040685007853E-4</v>
      </c>
      <c r="AD63" s="91">
        <f t="shared" si="16"/>
        <v>1.0160846379895627E-3</v>
      </c>
    </row>
    <row r="64" spans="11:30" x14ac:dyDescent="0.3">
      <c r="K64" s="1"/>
      <c r="L64" s="1" t="s">
        <v>160</v>
      </c>
      <c r="M64" s="78">
        <f t="shared" si="7"/>
        <v>2.0460545193687227E-4</v>
      </c>
      <c r="N64" s="78">
        <f t="shared" si="8"/>
        <v>8.3754353455183428E-6</v>
      </c>
      <c r="O64" s="78">
        <f t="shared" si="9"/>
        <v>1.1822601818253686E-3</v>
      </c>
      <c r="P64" s="78">
        <f t="shared" si="10"/>
        <v>1.493433451911199E-3</v>
      </c>
      <c r="Q64" s="78">
        <f t="shared" si="11"/>
        <v>5.8466874508623902E-2</v>
      </c>
      <c r="R64" s="78">
        <f t="shared" si="12"/>
        <v>4.8275264015345733E-5</v>
      </c>
      <c r="S64" s="78">
        <f t="shared" si="13"/>
        <v>5.6682926497465802E-4</v>
      </c>
      <c r="U64" s="91">
        <f t="shared" si="14"/>
        <v>6.1970653558632863E-2</v>
      </c>
      <c r="W64" s="78">
        <f t="shared" si="15"/>
        <v>1.0838273293813648E-5</v>
      </c>
      <c r="X64" s="78">
        <f t="shared" si="6"/>
        <v>7.3073415412676712E-7</v>
      </c>
      <c r="Y64" s="78">
        <f t="shared" si="6"/>
        <v>1.8419465977605512E-4</v>
      </c>
      <c r="Z64" s="78">
        <f t="shared" si="6"/>
        <v>1.613213760956579E-4</v>
      </c>
      <c r="AA64" s="78">
        <f t="shared" si="6"/>
        <v>2.1254496630693624E-4</v>
      </c>
      <c r="AB64" s="78">
        <f t="shared" si="6"/>
        <v>3.5099052540913011E-6</v>
      </c>
      <c r="AC64" s="78">
        <f t="shared" si="6"/>
        <v>2.9437097836550646E-4</v>
      </c>
      <c r="AD64" s="91">
        <f t="shared" si="16"/>
        <v>8.6751089324618746E-4</v>
      </c>
    </row>
    <row r="65" spans="5:30" x14ac:dyDescent="0.3">
      <c r="M65" s="78"/>
      <c r="N65" s="78"/>
      <c r="O65" s="78"/>
      <c r="P65" s="78"/>
      <c r="Q65" s="78"/>
      <c r="R65" s="78"/>
      <c r="S65" s="78"/>
      <c r="U65" s="91"/>
      <c r="W65" s="78"/>
      <c r="X65" s="78"/>
      <c r="Y65" s="78"/>
      <c r="Z65" s="78"/>
      <c r="AA65" s="78"/>
      <c r="AB65" s="78"/>
      <c r="AC65" s="78"/>
      <c r="AD65" s="91"/>
    </row>
    <row r="66" spans="5:30" x14ac:dyDescent="0.3">
      <c r="L66" t="s">
        <v>144</v>
      </c>
      <c r="M66" s="78">
        <f t="shared" si="7"/>
        <v>7.1329507412721182E-5</v>
      </c>
      <c r="N66" s="78">
        <f t="shared" si="8"/>
        <v>4.1869917726598879E-6</v>
      </c>
      <c r="O66" s="78">
        <f t="shared" si="9"/>
        <v>9.7886180453433803E-5</v>
      </c>
      <c r="P66" s="78">
        <f t="shared" si="10"/>
        <v>4.8440433337352097E-4</v>
      </c>
      <c r="Q66" s="78">
        <f t="shared" si="11"/>
        <v>7.0487775405808197E-3</v>
      </c>
      <c r="R66" s="78">
        <f t="shared" si="12"/>
        <v>1.6175959089948939E-5</v>
      </c>
      <c r="S66" s="78">
        <f t="shared" si="13"/>
        <v>2.4634146197263532E-5</v>
      </c>
      <c r="U66" s="91">
        <f t="shared" si="14"/>
        <v>7.7473946588803681E-3</v>
      </c>
      <c r="W66" s="78">
        <f t="shared" si="15"/>
        <v>3.7784364391751531E-6</v>
      </c>
      <c r="X66" s="78">
        <f t="shared" si="6"/>
        <v>3.6530374423671273E-7</v>
      </c>
      <c r="Y66" s="78">
        <f t="shared" si="6"/>
        <v>1.5250544662309367E-5</v>
      </c>
      <c r="Z66" s="78">
        <f t="shared" si="6"/>
        <v>5.2325581395348841E-5</v>
      </c>
      <c r="AA66" s="78">
        <f t="shared" si="6"/>
        <v>2.5624461670973302E-5</v>
      </c>
      <c r="AB66" s="78">
        <f t="shared" si="6"/>
        <v>1.1760905912752699E-6</v>
      </c>
      <c r="AC66" s="78">
        <f t="shared" si="6"/>
        <v>1.2793230987485433E-5</v>
      </c>
      <c r="AD66" s="91">
        <f t="shared" si="16"/>
        <v>1.1131364949080407E-4</v>
      </c>
    </row>
    <row r="67" spans="5:30" x14ac:dyDescent="0.3">
      <c r="L67" t="s">
        <v>145</v>
      </c>
      <c r="M67" s="78">
        <f t="shared" si="7"/>
        <v>2.2790530846484934E-5</v>
      </c>
      <c r="N67" s="78">
        <f t="shared" si="8"/>
        <v>6.3835654730879091E-6</v>
      </c>
      <c r="O67" s="78">
        <f t="shared" si="9"/>
        <v>1.656097587904026E-4</v>
      </c>
      <c r="P67" s="78">
        <f t="shared" si="10"/>
        <v>2.5000000938086339E-4</v>
      </c>
      <c r="Q67" s="78">
        <f t="shared" si="11"/>
        <v>1.3794419319406555E-2</v>
      </c>
      <c r="R67" s="78">
        <f t="shared" si="12"/>
        <v>8.585366332285231E-6</v>
      </c>
      <c r="S67" s="78">
        <f t="shared" si="13"/>
        <v>3.5902438814229632E-5</v>
      </c>
      <c r="U67" s="91">
        <f t="shared" si="14"/>
        <v>1.4283690989043909E-2</v>
      </c>
      <c r="W67" s="78">
        <f t="shared" si="15"/>
        <v>1.207250341997264E-6</v>
      </c>
      <c r="X67" s="78">
        <f t="shared" si="6"/>
        <v>5.5694887774231138E-7</v>
      </c>
      <c r="Y67" s="78">
        <f t="shared" si="6"/>
        <v>2.5801793585651321E-5</v>
      </c>
      <c r="Z67" s="78">
        <f t="shared" si="6"/>
        <v>2.7005117292394994E-5</v>
      </c>
      <c r="AA67" s="78">
        <f t="shared" si="6"/>
        <v>5.0146932157876072E-5</v>
      </c>
      <c r="AB67" s="78">
        <f t="shared" si="6"/>
        <v>6.2420833966661605E-7</v>
      </c>
      <c r="AC67" s="78">
        <f t="shared" si="6"/>
        <v>1.8645184171859961E-5</v>
      </c>
      <c r="AD67" s="91">
        <f t="shared" si="16"/>
        <v>1.2398743476718852E-4</v>
      </c>
    </row>
    <row r="68" spans="5:30" x14ac:dyDescent="0.3">
      <c r="L68" t="s">
        <v>146</v>
      </c>
      <c r="M68" s="78">
        <f t="shared" si="7"/>
        <v>7.7929220468675277E-5</v>
      </c>
      <c r="N68" s="78">
        <f t="shared" si="8"/>
        <v>5.2337397158248607E-6</v>
      </c>
      <c r="O68" s="78">
        <f t="shared" si="9"/>
        <v>1.3731707540352969E-4</v>
      </c>
      <c r="P68" s="78">
        <f t="shared" si="10"/>
        <v>8.659709518187975E-5</v>
      </c>
      <c r="Q68" s="78">
        <f t="shared" si="11"/>
        <v>2.5982567533421237E-3</v>
      </c>
      <c r="R68" s="78">
        <f t="shared" si="12"/>
        <v>8.6707321907028401E-7</v>
      </c>
      <c r="S68" s="78">
        <f t="shared" si="13"/>
        <v>4.0048780253372993E-5</v>
      </c>
      <c r="U68" s="91">
        <f t="shared" si="14"/>
        <v>2.9462497375844767E-3</v>
      </c>
      <c r="W68" s="78">
        <f t="shared" si="15"/>
        <v>4.1280336423975278E-6</v>
      </c>
      <c r="X68" s="78">
        <f t="shared" si="15"/>
        <v>4.5662968029589099E-7</v>
      </c>
      <c r="Y68" s="78">
        <f t="shared" si="15"/>
        <v>2.1393828849369208E-5</v>
      </c>
      <c r="Z68" s="78">
        <f t="shared" si="15"/>
        <v>9.3542584992653406E-6</v>
      </c>
      <c r="AA68" s="78">
        <f t="shared" si="15"/>
        <v>9.4454577696711754E-6</v>
      </c>
      <c r="AB68" s="78">
        <f t="shared" si="15"/>
        <v>6.304149566803466E-8</v>
      </c>
      <c r="AC68" s="78">
        <f t="shared" si="15"/>
        <v>2.0798500278664438E-5</v>
      </c>
      <c r="AD68" s="91">
        <f t="shared" si="16"/>
        <v>6.5639750215331616E-5</v>
      </c>
    </row>
    <row r="69" spans="5:30" x14ac:dyDescent="0.3">
      <c r="L69" t="s">
        <v>147</v>
      </c>
      <c r="M69" s="78">
        <f t="shared" si="7"/>
        <v>1.0124342419894787E-4</v>
      </c>
      <c r="N69" s="78">
        <f t="shared" si="8"/>
        <v>1.86411145495676E-6</v>
      </c>
      <c r="O69" s="78">
        <f t="shared" si="9"/>
        <v>4.0552846187851154E-5</v>
      </c>
      <c r="P69" s="78">
        <f t="shared" si="10"/>
        <v>3.1883209451527566E-4</v>
      </c>
      <c r="Q69" s="78">
        <f t="shared" si="11"/>
        <v>8.7421566234885187E-3</v>
      </c>
      <c r="R69" s="78">
        <f t="shared" si="12"/>
        <v>4.7665507883791387E-6</v>
      </c>
      <c r="S69" s="78">
        <f t="shared" si="13"/>
        <v>2.5756097410208211E-5</v>
      </c>
      <c r="U69" s="91">
        <f t="shared" si="14"/>
        <v>9.2351717480441391E-3</v>
      </c>
      <c r="W69" s="78">
        <f t="shared" si="15"/>
        <v>5.3630237624765667E-6</v>
      </c>
      <c r="X69" s="78">
        <f t="shared" si="15"/>
        <v>1.6263869889040886E-7</v>
      </c>
      <c r="Y69" s="78">
        <f t="shared" si="15"/>
        <v>6.3180827886710241E-6</v>
      </c>
      <c r="Z69" s="78">
        <f t="shared" si="15"/>
        <v>3.4440391143537524E-5</v>
      </c>
      <c r="AA69" s="78">
        <f t="shared" si="15"/>
        <v>3.1780412423367278E-5</v>
      </c>
      <c r="AB69" s="78">
        <f t="shared" si="15"/>
        <v>3.465572275421797E-7</v>
      </c>
      <c r="AC69" s="78">
        <f t="shared" si="15"/>
        <v>1.3375892992856057E-5</v>
      </c>
      <c r="AD69" s="91">
        <f t="shared" si="16"/>
        <v>9.1786999037341032E-5</v>
      </c>
    </row>
    <row r="70" spans="5:30" x14ac:dyDescent="0.3">
      <c r="L70" t="s">
        <v>148</v>
      </c>
      <c r="M70" s="78">
        <f t="shared" si="7"/>
        <v>1.0408895265423242E-4</v>
      </c>
      <c r="N70" s="78">
        <f t="shared" si="8"/>
        <v>1.8524970533682447E-5</v>
      </c>
      <c r="O70" s="78">
        <f t="shared" si="9"/>
        <v>1.9130081611871247E-5</v>
      </c>
      <c r="P70" s="78">
        <f t="shared" si="10"/>
        <v>6.8363041964842106E-5</v>
      </c>
      <c r="Q70" s="78">
        <f t="shared" si="11"/>
        <v>1.7331003206549182E-3</v>
      </c>
      <c r="R70" s="78">
        <f t="shared" si="12"/>
        <v>4.5383277791402241E-6</v>
      </c>
      <c r="S70" s="78">
        <f t="shared" si="13"/>
        <v>2.817073154241523E-5</v>
      </c>
      <c r="U70" s="91">
        <f t="shared" si="14"/>
        <v>1.975916426741102E-3</v>
      </c>
      <c r="W70" s="78">
        <f t="shared" si="15"/>
        <v>5.5137558899528807E-6</v>
      </c>
      <c r="X70" s="78">
        <f t="shared" si="15"/>
        <v>1.6162537366367735E-6</v>
      </c>
      <c r="Y70" s="78">
        <f t="shared" si="15"/>
        <v>2.9804428231240822E-6</v>
      </c>
      <c r="Z70" s="78">
        <f t="shared" si="15"/>
        <v>7.3846075898059492E-6</v>
      </c>
      <c r="AA70" s="78">
        <f t="shared" si="15"/>
        <v>6.3003495972032226E-6</v>
      </c>
      <c r="AB70" s="78">
        <f t="shared" si="15"/>
        <v>3.2996402695445104E-7</v>
      </c>
      <c r="AC70" s="78">
        <f t="shared" si="15"/>
        <v>1.4629882960936315E-5</v>
      </c>
      <c r="AD70" s="91">
        <f t="shared" si="16"/>
        <v>3.8755256624613667E-5</v>
      </c>
    </row>
    <row r="71" spans="5:30" x14ac:dyDescent="0.3">
      <c r="K71" s="1"/>
      <c r="L71" s="1" t="s">
        <v>160</v>
      </c>
      <c r="M71" s="78">
        <f t="shared" si="7"/>
        <v>7.5476327116212326E-5</v>
      </c>
      <c r="N71" s="78">
        <f t="shared" si="8"/>
        <v>7.238675790042374E-6</v>
      </c>
      <c r="O71" s="78">
        <f t="shared" si="9"/>
        <v>9.2099188489417678E-5</v>
      </c>
      <c r="P71" s="78">
        <f t="shared" si="10"/>
        <v>2.4163931488327636E-4</v>
      </c>
      <c r="Q71" s="78">
        <f t="shared" si="11"/>
        <v>6.7833421114945874E-3</v>
      </c>
      <c r="R71" s="78">
        <f t="shared" si="12"/>
        <v>6.9866554417647623E-6</v>
      </c>
      <c r="S71" s="78">
        <f t="shared" si="13"/>
        <v>3.0902438843497928E-5</v>
      </c>
      <c r="U71" s="91">
        <f t="shared" si="14"/>
        <v>7.2376847120587994E-3</v>
      </c>
      <c r="W71" s="78">
        <f t="shared" si="15"/>
        <v>3.9981000151998782E-6</v>
      </c>
      <c r="X71" s="78">
        <f t="shared" si="15"/>
        <v>6.3155494756041962E-7</v>
      </c>
      <c r="Y71" s="78">
        <f t="shared" si="15"/>
        <v>1.4348938541824997E-5</v>
      </c>
      <c r="Z71" s="78">
        <f t="shared" si="15"/>
        <v>2.6101991184070529E-5</v>
      </c>
      <c r="AA71" s="78">
        <f t="shared" si="15"/>
        <v>2.4659522723818212E-5</v>
      </c>
      <c r="AB71" s="78">
        <f t="shared" si="15"/>
        <v>5.0797233622131019E-7</v>
      </c>
      <c r="AC71" s="78">
        <f t="shared" si="15"/>
        <v>1.6048538278360445E-5</v>
      </c>
      <c r="AD71" s="91">
        <f t="shared" si="16"/>
        <v>8.629661802705579E-5</v>
      </c>
    </row>
    <row r="72" spans="5:30" x14ac:dyDescent="0.3">
      <c r="M72" s="78"/>
      <c r="N72" s="78"/>
      <c r="O72" s="78"/>
      <c r="P72" s="78"/>
      <c r="Q72" s="78"/>
      <c r="R72" s="78"/>
      <c r="S72" s="78"/>
      <c r="U72" s="91"/>
      <c r="W72" s="78"/>
      <c r="X72" s="78"/>
      <c r="Y72" s="78"/>
      <c r="Z72" s="78"/>
      <c r="AA72" s="78"/>
      <c r="AB72" s="78"/>
      <c r="AC72" s="78"/>
      <c r="AD72" s="91"/>
    </row>
    <row r="73" spans="5:30" x14ac:dyDescent="0.3">
      <c r="L73" t="s">
        <v>149</v>
      </c>
      <c r="M73" s="78">
        <f t="shared" si="7"/>
        <v>1.4347202295552365E-6</v>
      </c>
      <c r="N73" s="78">
        <f t="shared" si="8"/>
        <v>8.7108011913867295E-7</v>
      </c>
      <c r="O73" s="78">
        <f t="shared" si="9"/>
        <v>4.0593496595016203E-4</v>
      </c>
      <c r="P73" s="78">
        <f t="shared" si="10"/>
        <v>7.6981710205692693E-4</v>
      </c>
      <c r="Q73" s="78">
        <f t="shared" si="11"/>
        <v>8.7212507088847216E-2</v>
      </c>
      <c r="R73" s="78">
        <f t="shared" si="12"/>
        <v>2.0749130076606557E-5</v>
      </c>
      <c r="S73" s="78">
        <f t="shared" si="13"/>
        <v>2.1773170604254613E-4</v>
      </c>
      <c r="U73" s="91">
        <f t="shared" si="14"/>
        <v>8.8629045793322148E-2</v>
      </c>
      <c r="W73" s="78">
        <f t="shared" si="15"/>
        <v>7.5999392004863951E-8</v>
      </c>
      <c r="X73" s="78">
        <f t="shared" si="15"/>
        <v>7.5999392004863951E-8</v>
      </c>
      <c r="Y73" s="78">
        <f t="shared" si="15"/>
        <v>6.3244160713380964E-5</v>
      </c>
      <c r="Z73" s="78">
        <f t="shared" si="15"/>
        <v>8.3156001418655315E-5</v>
      </c>
      <c r="AA73" s="78">
        <f t="shared" si="15"/>
        <v>3.170441303136242E-4</v>
      </c>
      <c r="AB73" s="78">
        <f t="shared" si="15"/>
        <v>1.5085879312965498E-6</v>
      </c>
      <c r="AC73" s="78">
        <f t="shared" si="15"/>
        <v>1.1307442873790344E-4</v>
      </c>
      <c r="AD73" s="91">
        <f t="shared" si="16"/>
        <v>5.781793078988702E-4</v>
      </c>
    </row>
    <row r="74" spans="5:30" x14ac:dyDescent="0.3">
      <c r="L74" t="s">
        <v>150</v>
      </c>
      <c r="M74" s="78">
        <f t="shared" si="7"/>
        <v>1.4344811095169777E-4</v>
      </c>
      <c r="N74" s="78">
        <f t="shared" si="8"/>
        <v>1.1133855722790807E-5</v>
      </c>
      <c r="O74" s="78">
        <f t="shared" si="9"/>
        <v>6.6268293760460056E-4</v>
      </c>
      <c r="P74" s="78">
        <f t="shared" si="10"/>
        <v>1.877345286204326E-3</v>
      </c>
      <c r="Q74" s="78">
        <f t="shared" si="11"/>
        <v>0.12951214097053337</v>
      </c>
      <c r="R74" s="78">
        <f t="shared" si="12"/>
        <v>7.4337983238354467E-5</v>
      </c>
      <c r="S74" s="78">
        <f t="shared" si="13"/>
        <v>2.1602438897936944E-7</v>
      </c>
      <c r="U74" s="91">
        <f t="shared" si="14"/>
        <v>0.13228130516864414</v>
      </c>
      <c r="W74" s="78">
        <f t="shared" si="15"/>
        <v>7.5986725439529822E-6</v>
      </c>
      <c r="X74" s="78">
        <f t="shared" si="15"/>
        <v>9.7139889547550295E-7</v>
      </c>
      <c r="Y74" s="78">
        <f t="shared" si="15"/>
        <v>1.0324517403860768E-4</v>
      </c>
      <c r="Z74" s="78">
        <f t="shared" si="15"/>
        <v>2.0279171099964533E-4</v>
      </c>
      <c r="AA74" s="78">
        <f t="shared" si="15"/>
        <v>4.7081623347013221E-4</v>
      </c>
      <c r="AB74" s="78">
        <f t="shared" si="15"/>
        <v>5.4048234280792427E-6</v>
      </c>
      <c r="AC74" s="78">
        <f t="shared" si="15"/>
        <v>1.1218776916451337E-7</v>
      </c>
      <c r="AD74" s="91">
        <f t="shared" si="16"/>
        <v>7.9094020114505749E-4</v>
      </c>
    </row>
    <row r="75" spans="5:30" x14ac:dyDescent="0.3">
      <c r="L75" t="s">
        <v>151</v>
      </c>
      <c r="M75" s="78">
        <f t="shared" si="7"/>
        <v>2.4342419894787183E-4</v>
      </c>
      <c r="N75" s="78">
        <f t="shared" si="8"/>
        <v>5.3644017336956615E-6</v>
      </c>
      <c r="O75" s="78">
        <f t="shared" si="9"/>
        <v>4.7325204021548032E-4</v>
      </c>
      <c r="P75" s="78">
        <f t="shared" si="10"/>
        <v>2.1235929502286285E-3</v>
      </c>
      <c r="Q75" s="78">
        <f t="shared" si="11"/>
        <v>0.10362365005282924</v>
      </c>
      <c r="R75" s="78">
        <f t="shared" si="12"/>
        <v>3.5679444497808747E-5</v>
      </c>
      <c r="S75" s="78">
        <f t="shared" si="13"/>
        <v>2.6585365698036879E-4</v>
      </c>
      <c r="U75" s="91">
        <f t="shared" si="14"/>
        <v>0.10677081674543309</v>
      </c>
      <c r="W75" s="78">
        <f t="shared" si="15"/>
        <v>1.2894563510158585E-5</v>
      </c>
      <c r="X75" s="78">
        <f t="shared" si="15"/>
        <v>4.6802958909662055E-7</v>
      </c>
      <c r="Y75" s="78">
        <f t="shared" si="15"/>
        <v>7.3732076810052193E-5</v>
      </c>
      <c r="Z75" s="78">
        <f t="shared" si="15"/>
        <v>2.2939149820134773E-4</v>
      </c>
      <c r="AA75" s="78">
        <f t="shared" si="15"/>
        <v>3.7670365303744241E-4</v>
      </c>
      <c r="AB75" s="78">
        <f t="shared" si="15"/>
        <v>2.5941125804326896E-6</v>
      </c>
      <c r="AC75" s="78">
        <f t="shared" si="15"/>
        <v>1.3806556214216952E-4</v>
      </c>
      <c r="AD75" s="91">
        <f t="shared" si="16"/>
        <v>8.3384949587069976E-4</v>
      </c>
    </row>
    <row r="76" spans="5:30" x14ac:dyDescent="0.3">
      <c r="L76" t="s">
        <v>152</v>
      </c>
      <c r="M76" s="78">
        <f t="shared" si="7"/>
        <v>2.9746532759445243E-5</v>
      </c>
      <c r="N76" s="78">
        <f t="shared" si="8"/>
        <v>4.4091172030402507E-6</v>
      </c>
      <c r="O76" s="78">
        <f t="shared" si="9"/>
        <v>4.7373984510146086E-4</v>
      </c>
      <c r="P76" s="78">
        <f t="shared" si="10"/>
        <v>8.4228427175550742E-4</v>
      </c>
      <c r="Q76" s="78">
        <f t="shared" si="11"/>
        <v>4.8606251453832149E-2</v>
      </c>
      <c r="R76" s="78">
        <f t="shared" si="12"/>
        <v>3.355400883924788E-5</v>
      </c>
      <c r="S76" s="78">
        <f t="shared" si="13"/>
        <v>2.0329268173682329E-4</v>
      </c>
      <c r="U76" s="91">
        <f t="shared" si="14"/>
        <v>5.0193277911227671E-2</v>
      </c>
      <c r="W76" s="78">
        <f t="shared" si="15"/>
        <v>1.5757207275675128E-6</v>
      </c>
      <c r="X76" s="78">
        <f t="shared" si="15"/>
        <v>3.8468358919795311E-7</v>
      </c>
      <c r="Y76" s="78">
        <f t="shared" si="15"/>
        <v>7.3808076202057043E-5</v>
      </c>
      <c r="Z76" s="78">
        <f t="shared" si="15"/>
        <v>9.0983938795156311E-5</v>
      </c>
      <c r="AA76" s="78">
        <f t="shared" si="15"/>
        <v>1.7669858641130873E-4</v>
      </c>
      <c r="AB76" s="78">
        <f t="shared" si="15"/>
        <v>2.4395804833561332E-6</v>
      </c>
      <c r="AC76" s="78">
        <f t="shared" si="15"/>
        <v>1.0557582206009018E-4</v>
      </c>
      <c r="AD76" s="91">
        <f t="shared" si="16"/>
        <v>4.514664082687339E-4</v>
      </c>
    </row>
    <row r="77" spans="5:30" x14ac:dyDescent="0.3">
      <c r="L77" t="s">
        <v>153</v>
      </c>
      <c r="M77" s="78">
        <f t="shared" si="7"/>
        <v>1.1891439502630319E-5</v>
      </c>
      <c r="N77" s="78">
        <f t="shared" si="8"/>
        <v>2.2139953028107943E-6</v>
      </c>
      <c r="O77" s="78">
        <f t="shared" si="9"/>
        <v>2.7252032963447689E-4</v>
      </c>
      <c r="P77" s="78">
        <f t="shared" si="10"/>
        <v>7.919793918191141E-4</v>
      </c>
      <c r="Q77" s="78">
        <f t="shared" si="11"/>
        <v>8.2578362685005138E-2</v>
      </c>
      <c r="R77" s="78">
        <f t="shared" si="12"/>
        <v>7.414634559700882E-5</v>
      </c>
      <c r="S77" s="78">
        <f t="shared" si="13"/>
        <v>1.1621951151481261E-4</v>
      </c>
      <c r="U77" s="91">
        <f t="shared" si="14"/>
        <v>8.3847333698375992E-2</v>
      </c>
      <c r="W77" s="78">
        <f t="shared" si="15"/>
        <v>6.2990829406698084E-7</v>
      </c>
      <c r="X77" s="78">
        <f t="shared" si="15"/>
        <v>1.9316512134569592E-7</v>
      </c>
      <c r="Y77" s="78">
        <f t="shared" si="15"/>
        <v>4.2458327000050666E-5</v>
      </c>
      <c r="Z77" s="78">
        <f t="shared" si="15"/>
        <v>8.5549982266808531E-5</v>
      </c>
      <c r="AA77" s="78">
        <f t="shared" si="15"/>
        <v>3.0019759841921266E-4</v>
      </c>
      <c r="AB77" s="78">
        <f t="shared" si="15"/>
        <v>5.3908902062116843E-6</v>
      </c>
      <c r="AC77" s="78">
        <f t="shared" si="15"/>
        <v>6.0356183817196127E-5</v>
      </c>
      <c r="AD77" s="91">
        <f t="shared" si="16"/>
        <v>4.9477605512489233E-4</v>
      </c>
    </row>
    <row r="78" spans="5:30" x14ac:dyDescent="0.3">
      <c r="L78" s="1" t="s">
        <v>160</v>
      </c>
      <c r="M78" s="78">
        <f t="shared" si="7"/>
        <v>1.0712757054041127E-4</v>
      </c>
      <c r="N78" s="78">
        <f t="shared" si="8"/>
        <v>5.7803424905843792E-6</v>
      </c>
      <c r="O78" s="78">
        <f t="shared" si="9"/>
        <v>4.7054878813900474E-4</v>
      </c>
      <c r="P78" s="78">
        <f t="shared" si="10"/>
        <v>1.4088004750018941E-3</v>
      </c>
      <c r="Q78" s="78">
        <f t="shared" si="11"/>
        <v>9.108010129054997E-2</v>
      </c>
      <c r="R78" s="78">
        <f t="shared" si="12"/>
        <v>5.4429445543104977E-5</v>
      </c>
      <c r="S78" s="78">
        <f t="shared" si="13"/>
        <v>1.4639546865524602E-4</v>
      </c>
      <c r="U78" s="91">
        <f t="shared" si="14"/>
        <v>9.3273183380920222E-2</v>
      </c>
      <c r="W78" s="78">
        <f t="shared" si="15"/>
        <v>5.6747162689365146E-6</v>
      </c>
      <c r="X78" s="78">
        <f t="shared" si="15"/>
        <v>5.0431929877894315E-7</v>
      </c>
      <c r="Y78" s="78">
        <f t="shared" si="15"/>
        <v>7.3310913512691911E-5</v>
      </c>
      <c r="Z78" s="78">
        <f t="shared" si="15"/>
        <v>1.5217928256573948E-4</v>
      </c>
      <c r="AA78" s="78">
        <f t="shared" si="15"/>
        <v>3.3110401783452398E-4</v>
      </c>
      <c r="AB78" s="78">
        <f t="shared" si="15"/>
        <v>3.957351674519937E-6</v>
      </c>
      <c r="AC78" s="78">
        <f t="shared" si="15"/>
        <v>7.6027438947155095E-5</v>
      </c>
      <c r="AD78" s="91">
        <f t="shared" si="16"/>
        <v>6.4275804010234592E-4</v>
      </c>
    </row>
    <row r="80" spans="5:30" x14ac:dyDescent="0.3">
      <c r="E80" s="51"/>
      <c r="F80" s="51" t="s">
        <v>132</v>
      </c>
      <c r="K80" s="64" t="s">
        <v>133</v>
      </c>
      <c r="L80" s="25"/>
      <c r="M80" s="51" t="s">
        <v>131</v>
      </c>
      <c r="U80" s="78">
        <f>MIN(U52:U78)</f>
        <v>1.975916426741102E-3</v>
      </c>
    </row>
    <row r="81" spans="5:21" x14ac:dyDescent="0.3">
      <c r="E81" s="51" t="s">
        <v>127</v>
      </c>
      <c r="F81" s="51">
        <v>3.7000000000000002E-3</v>
      </c>
      <c r="L81" t="s">
        <v>129</v>
      </c>
      <c r="M81" s="46" t="s">
        <v>130</v>
      </c>
      <c r="N81" s="46"/>
      <c r="O81" s="46" t="s">
        <v>110</v>
      </c>
      <c r="P81" s="46" t="s">
        <v>111</v>
      </c>
      <c r="Q81" s="46" t="s">
        <v>112</v>
      </c>
      <c r="R81" s="46"/>
      <c r="S81" s="46" t="s">
        <v>114</v>
      </c>
      <c r="U81" s="78">
        <f>MAX(U52:U78)</f>
        <v>0.69661659676216026</v>
      </c>
    </row>
    <row r="82" spans="5:21" x14ac:dyDescent="0.3">
      <c r="E82" s="51" t="s">
        <v>110</v>
      </c>
      <c r="F82" s="51">
        <v>27</v>
      </c>
      <c r="L82" t="s">
        <v>134</v>
      </c>
      <c r="M82" s="78">
        <f>U22/0.0037</f>
        <v>1.4984101748807631E-4</v>
      </c>
      <c r="N82" s="78"/>
      <c r="O82" s="78">
        <f>W22/27</f>
        <v>1.0190631808278866E-6</v>
      </c>
      <c r="P82" s="78">
        <f>X22/0.3</f>
        <v>4.995098039215687E-5</v>
      </c>
      <c r="Q82" s="78">
        <f>Y22/1.1</f>
        <v>4.1804812834224592E-5</v>
      </c>
      <c r="R82" s="78"/>
      <c r="S82" s="78">
        <f>AA22/0.73</f>
        <v>9.6192586623690579E-6</v>
      </c>
    </row>
    <row r="83" spans="5:21" x14ac:dyDescent="0.3">
      <c r="E83" s="51" t="s">
        <v>111</v>
      </c>
      <c r="F83" s="51">
        <v>0.3</v>
      </c>
      <c r="L83" t="s">
        <v>135</v>
      </c>
      <c r="M83" s="78">
        <f t="shared" ref="M83:M108" si="17">U23/0.0037</f>
        <v>1.9586645468998411E-3</v>
      </c>
      <c r="N83" s="78"/>
      <c r="O83" s="78">
        <f t="shared" ref="O83:O108" si="18">W23/27</f>
        <v>1.1628540305010893E-6</v>
      </c>
      <c r="P83" s="78">
        <f t="shared" ref="P83:P108" si="19">X23/0.3</f>
        <v>4.1818627450980392E-5</v>
      </c>
      <c r="Q83" s="78">
        <f t="shared" ref="Q83:Q108" si="20">Y23/1.1</f>
        <v>2.6524064171122992E-4</v>
      </c>
      <c r="R83" s="78"/>
      <c r="S83" s="78">
        <f t="shared" ref="S83:S108" si="21">AA23/0.73</f>
        <v>1.0501611603545528E-4</v>
      </c>
    </row>
    <row r="84" spans="5:21" x14ac:dyDescent="0.3">
      <c r="E84" s="51" t="s">
        <v>112</v>
      </c>
      <c r="F84" s="51">
        <v>1.1000000000000001</v>
      </c>
      <c r="L84" t="s">
        <v>136</v>
      </c>
      <c r="M84" s="78">
        <f t="shared" si="17"/>
        <v>3.0564387917329095E-4</v>
      </c>
      <c r="N84" s="78"/>
      <c r="O84" s="78">
        <f t="shared" si="18"/>
        <v>1.7135076252723311E-7</v>
      </c>
      <c r="P84" s="78">
        <f t="shared" si="19"/>
        <v>5.5196078431372543E-6</v>
      </c>
      <c r="Q84" s="78">
        <f t="shared" si="20"/>
        <v>3.5601604278074864E-5</v>
      </c>
      <c r="R84" s="78"/>
      <c r="S84" s="78">
        <f t="shared" si="21"/>
        <v>1.1998388396454473E-5</v>
      </c>
    </row>
    <row r="85" spans="5:21" x14ac:dyDescent="0.3">
      <c r="E85" s="51" t="s">
        <v>114</v>
      </c>
      <c r="F85" s="51">
        <v>0.73</v>
      </c>
      <c r="L85" t="s">
        <v>137</v>
      </c>
      <c r="M85" s="78">
        <f t="shared" si="17"/>
        <v>1.2837837837837835E-3</v>
      </c>
      <c r="N85" s="78"/>
      <c r="O85" s="78">
        <f t="shared" si="18"/>
        <v>3.7352941176470592E-7</v>
      </c>
      <c r="P85" s="78">
        <f t="shared" si="19"/>
        <v>2.4240196078431376E-5</v>
      </c>
      <c r="Q85" s="78">
        <f t="shared" si="20"/>
        <v>4.655080213903743E-5</v>
      </c>
      <c r="R85" s="78"/>
      <c r="S85" s="78">
        <f t="shared" si="21"/>
        <v>1.2391216760676872E-5</v>
      </c>
    </row>
    <row r="86" spans="5:21" x14ac:dyDescent="0.3">
      <c r="L86" t="s">
        <v>138</v>
      </c>
      <c r="M86" s="78">
        <f t="shared" si="17"/>
        <v>1.0802861685214624E-3</v>
      </c>
      <c r="N86" s="78"/>
      <c r="O86" s="78">
        <f t="shared" si="18"/>
        <v>1.0468409586056643E-6</v>
      </c>
      <c r="P86" s="78">
        <f t="shared" si="19"/>
        <v>1.6014705882352945E-5</v>
      </c>
      <c r="Q86" s="78">
        <f t="shared" si="20"/>
        <v>2.125668449197861E-4</v>
      </c>
      <c r="R86" s="78"/>
      <c r="S86" s="78">
        <f t="shared" si="21"/>
        <v>1.9397663174858986E-5</v>
      </c>
    </row>
    <row r="87" spans="5:21" x14ac:dyDescent="0.3">
      <c r="K87" s="1"/>
      <c r="L87" s="1" t="s">
        <v>160</v>
      </c>
      <c r="M87" s="78">
        <f t="shared" si="17"/>
        <v>9.5564387917329086E-4</v>
      </c>
      <c r="N87" s="78"/>
      <c r="O87" s="78">
        <f t="shared" si="18"/>
        <v>7.5472766884531585E-7</v>
      </c>
      <c r="P87" s="78">
        <f t="shared" si="19"/>
        <v>2.750882352941177E-5</v>
      </c>
      <c r="Q87" s="78">
        <f t="shared" si="20"/>
        <v>1.2035294117647058E-4</v>
      </c>
      <c r="R87" s="78"/>
      <c r="S87" s="78">
        <f t="shared" si="21"/>
        <v>3.1684528605962926E-5</v>
      </c>
    </row>
    <row r="88" spans="5:21" x14ac:dyDescent="0.3">
      <c r="M88" s="78"/>
      <c r="N88" s="78"/>
      <c r="O88" s="78"/>
      <c r="P88" s="78"/>
      <c r="Q88" s="78"/>
      <c r="R88" s="78"/>
      <c r="S88" s="78"/>
    </row>
    <row r="89" spans="5:21" x14ac:dyDescent="0.3">
      <c r="L89" t="s">
        <v>139</v>
      </c>
      <c r="M89" s="78">
        <f t="shared" si="17"/>
        <v>7.9888712241653396E-5</v>
      </c>
      <c r="N89" s="78"/>
      <c r="O89" s="78">
        <f t="shared" si="18"/>
        <v>4.9389978213507634E-7</v>
      </c>
      <c r="P89" s="78">
        <f t="shared" si="19"/>
        <v>1.0549019607843137E-4</v>
      </c>
      <c r="Q89" s="78">
        <f t="shared" si="20"/>
        <v>3.1457219251336901E-5</v>
      </c>
      <c r="R89" s="78"/>
      <c r="S89" s="78">
        <f t="shared" si="21"/>
        <v>4.3573730862207903E-5</v>
      </c>
    </row>
    <row r="90" spans="5:21" x14ac:dyDescent="0.3">
      <c r="L90" t="s">
        <v>140</v>
      </c>
      <c r="M90" s="78">
        <f t="shared" si="17"/>
        <v>1.5532591414944356E-4</v>
      </c>
      <c r="N90" s="78"/>
      <c r="O90" s="78">
        <f t="shared" si="18"/>
        <v>1.1557734204793029E-6</v>
      </c>
      <c r="P90" s="78">
        <f t="shared" si="19"/>
        <v>7.9852941176470602E-5</v>
      </c>
      <c r="Q90" s="78">
        <f t="shared" si="20"/>
        <v>1.7740641711229943E-5</v>
      </c>
      <c r="R90" s="78"/>
      <c r="S90" s="78">
        <f t="shared" si="21"/>
        <v>7.5543916196615636E-5</v>
      </c>
    </row>
    <row r="91" spans="5:21" x14ac:dyDescent="0.3">
      <c r="L91" t="s">
        <v>142</v>
      </c>
      <c r="M91" s="78">
        <f t="shared" si="17"/>
        <v>1.0723370429252782E-3</v>
      </c>
      <c r="N91" s="78"/>
      <c r="O91" s="78">
        <f t="shared" si="18"/>
        <v>9.1176470588235292E-7</v>
      </c>
      <c r="P91" s="78">
        <f t="shared" si="19"/>
        <v>4.0882352941176474E-5</v>
      </c>
      <c r="Q91" s="78">
        <f t="shared" si="20"/>
        <v>1.5106951871657754E-5</v>
      </c>
      <c r="R91" s="78"/>
      <c r="S91" s="78">
        <f t="shared" si="21"/>
        <v>2.7296535052377117E-5</v>
      </c>
    </row>
    <row r="92" spans="5:21" x14ac:dyDescent="0.3">
      <c r="L92" t="s">
        <v>141</v>
      </c>
      <c r="M92" s="78">
        <f t="shared" si="17"/>
        <v>2.6764705882352942E-4</v>
      </c>
      <c r="N92" s="78"/>
      <c r="O92" s="78">
        <f t="shared" si="18"/>
        <v>3.1486928104575164E-7</v>
      </c>
      <c r="P92" s="78">
        <f t="shared" si="19"/>
        <v>2.7990196078431369E-5</v>
      </c>
      <c r="Q92" s="78">
        <f t="shared" si="20"/>
        <v>2.2513368983957219E-5</v>
      </c>
      <c r="R92" s="78"/>
      <c r="S92" s="78">
        <f t="shared" si="21"/>
        <v>2.9492344883158742E-5</v>
      </c>
    </row>
    <row r="93" spans="5:21" x14ac:dyDescent="0.3">
      <c r="L93" t="s">
        <v>143</v>
      </c>
      <c r="M93" s="78">
        <f t="shared" si="17"/>
        <v>1.2523847376788553E-4</v>
      </c>
      <c r="N93" s="78"/>
      <c r="O93" s="78">
        <f t="shared" si="18"/>
        <v>1.0838779956427015E-6</v>
      </c>
      <c r="P93" s="78">
        <f t="shared" si="19"/>
        <v>5.7941176470588244E-5</v>
      </c>
      <c r="Q93" s="78">
        <f t="shared" si="20"/>
        <v>2.5347593582887696E-5</v>
      </c>
      <c r="R93" s="78"/>
      <c r="S93" s="78">
        <f t="shared" si="21"/>
        <v>5.8178887993553585E-5</v>
      </c>
    </row>
    <row r="94" spans="5:21" x14ac:dyDescent="0.3">
      <c r="K94" s="1"/>
      <c r="L94" s="1" t="s">
        <v>160</v>
      </c>
      <c r="M94" s="78">
        <f t="shared" si="17"/>
        <v>3.4008744038155797E-4</v>
      </c>
      <c r="N94" s="78"/>
      <c r="O94" s="78">
        <f t="shared" si="18"/>
        <v>7.9203703703703703E-7</v>
      </c>
      <c r="P94" s="78">
        <f t="shared" si="19"/>
        <v>6.2431372549019614E-5</v>
      </c>
      <c r="Q94" s="78">
        <f t="shared" si="20"/>
        <v>2.2433155080213902E-5</v>
      </c>
      <c r="R94" s="78"/>
      <c r="S94" s="78">
        <f t="shared" si="21"/>
        <v>4.6817082997582598E-5</v>
      </c>
    </row>
    <row r="95" spans="5:21" x14ac:dyDescent="0.3">
      <c r="M95" s="78"/>
      <c r="N95" s="78"/>
      <c r="O95" s="78"/>
      <c r="P95" s="78"/>
      <c r="Q95" s="78"/>
      <c r="R95" s="78"/>
      <c r="S95" s="78"/>
    </row>
    <row r="96" spans="5:21" x14ac:dyDescent="0.3">
      <c r="L96" t="s">
        <v>144</v>
      </c>
      <c r="M96" s="78">
        <f t="shared" si="17"/>
        <v>1.185612082670906E-4</v>
      </c>
      <c r="N96" s="78"/>
      <c r="O96" s="78">
        <f t="shared" si="18"/>
        <v>6.5577342047930275E-8</v>
      </c>
      <c r="P96" s="78">
        <f t="shared" si="19"/>
        <v>2.0250000000000001E-5</v>
      </c>
      <c r="Q96" s="78">
        <f t="shared" si="20"/>
        <v>2.7045454545454545E-6</v>
      </c>
      <c r="R96" s="78"/>
      <c r="S96" s="78">
        <f t="shared" si="21"/>
        <v>2.0346494762288478E-6</v>
      </c>
    </row>
    <row r="97" spans="11:19" x14ac:dyDescent="0.3">
      <c r="L97" t="s">
        <v>145</v>
      </c>
      <c r="M97" s="78">
        <f t="shared" si="17"/>
        <v>3.7881558028616851E-5</v>
      </c>
      <c r="N97" s="78"/>
      <c r="O97" s="78">
        <f t="shared" si="18"/>
        <v>1.1094771241830068E-7</v>
      </c>
      <c r="P97" s="78">
        <f t="shared" si="19"/>
        <v>1.0450980392156863E-5</v>
      </c>
      <c r="Q97" s="78">
        <f t="shared" si="20"/>
        <v>5.292780748663101E-6</v>
      </c>
      <c r="R97" s="78"/>
      <c r="S97" s="78">
        <f t="shared" si="21"/>
        <v>2.9653505237711526E-6</v>
      </c>
    </row>
    <row r="98" spans="11:19" x14ac:dyDescent="0.3">
      <c r="L98" t="s">
        <v>146</v>
      </c>
      <c r="M98" s="78">
        <f t="shared" si="17"/>
        <v>1.2953100158982512E-4</v>
      </c>
      <c r="N98" s="78"/>
      <c r="O98" s="78">
        <f t="shared" si="18"/>
        <v>9.1993464052287593E-8</v>
      </c>
      <c r="P98" s="78">
        <f t="shared" si="19"/>
        <v>3.6200980392156864E-6</v>
      </c>
      <c r="Q98" s="78">
        <f t="shared" si="20"/>
        <v>9.9692513368983946E-7</v>
      </c>
      <c r="R98" s="78"/>
      <c r="S98" s="78">
        <f t="shared" si="21"/>
        <v>3.3078162771958099E-6</v>
      </c>
    </row>
    <row r="99" spans="11:19" x14ac:dyDescent="0.3">
      <c r="L99" t="s">
        <v>147</v>
      </c>
      <c r="M99" s="78">
        <f t="shared" si="17"/>
        <v>1.6828298887122415E-4</v>
      </c>
      <c r="N99" s="78"/>
      <c r="O99" s="78">
        <f t="shared" si="18"/>
        <v>2.7167755991285405E-8</v>
      </c>
      <c r="P99" s="78">
        <f t="shared" si="19"/>
        <v>1.3328431372549021E-5</v>
      </c>
      <c r="Q99" s="78">
        <f t="shared" si="20"/>
        <v>3.3542780748663098E-6</v>
      </c>
      <c r="R99" s="78"/>
      <c r="S99" s="78">
        <f t="shared" si="21"/>
        <v>2.1273166800966963E-6</v>
      </c>
    </row>
    <row r="100" spans="11:19" x14ac:dyDescent="0.3">
      <c r="L100" t="s">
        <v>148</v>
      </c>
      <c r="M100" s="78">
        <f t="shared" si="17"/>
        <v>1.7301271860095389E-4</v>
      </c>
      <c r="N100" s="78"/>
      <c r="O100" s="78">
        <f t="shared" si="18"/>
        <v>1.2815904139433552E-8</v>
      </c>
      <c r="P100" s="78">
        <f t="shared" si="19"/>
        <v>2.8578431372549024E-6</v>
      </c>
      <c r="Q100" s="78">
        <f t="shared" si="20"/>
        <v>6.6497326203208548E-7</v>
      </c>
      <c r="R100" s="78"/>
      <c r="S100" s="78">
        <f t="shared" si="21"/>
        <v>2.3267526188557618E-6</v>
      </c>
    </row>
    <row r="101" spans="11:19" x14ac:dyDescent="0.3">
      <c r="K101" s="1"/>
      <c r="L101" s="1" t="s">
        <v>160</v>
      </c>
      <c r="M101" s="78">
        <f t="shared" si="17"/>
        <v>1.2545389507154212E-4</v>
      </c>
      <c r="N101" s="78"/>
      <c r="O101" s="78">
        <f t="shared" si="18"/>
        <v>6.170043572984748E-8</v>
      </c>
      <c r="P101" s="78">
        <f t="shared" si="19"/>
        <v>1.0101470588235294E-5</v>
      </c>
      <c r="Q101" s="78">
        <f t="shared" si="20"/>
        <v>2.6027005347593584E-6</v>
      </c>
      <c r="R101" s="78"/>
      <c r="S101" s="78">
        <f t="shared" si="21"/>
        <v>2.5523771152296544E-6</v>
      </c>
    </row>
    <row r="102" spans="11:19" x14ac:dyDescent="0.3">
      <c r="M102" s="78"/>
      <c r="N102" s="78"/>
      <c r="O102" s="78"/>
      <c r="P102" s="78"/>
      <c r="Q102" s="78"/>
      <c r="R102" s="78"/>
      <c r="S102" s="78"/>
    </row>
    <row r="103" spans="11:19" x14ac:dyDescent="0.3">
      <c r="L103" t="s">
        <v>149</v>
      </c>
      <c r="M103" s="78">
        <f t="shared" si="17"/>
        <v>2.3847376788553253E-6</v>
      </c>
      <c r="N103" s="78"/>
      <c r="O103" s="78">
        <f t="shared" si="18"/>
        <v>2.7194989106753814E-7</v>
      </c>
      <c r="P103" s="78">
        <f t="shared" si="19"/>
        <v>3.2181372549019611E-5</v>
      </c>
      <c r="Q103" s="78">
        <f t="shared" si="20"/>
        <v>3.3462566844919791E-5</v>
      </c>
      <c r="R103" s="78"/>
      <c r="S103" s="78">
        <f t="shared" si="21"/>
        <v>1.7983481063658341E-5</v>
      </c>
    </row>
    <row r="104" spans="11:19" x14ac:dyDescent="0.3">
      <c r="L104" t="s">
        <v>150</v>
      </c>
      <c r="M104" s="78">
        <f t="shared" si="17"/>
        <v>2.3843402225755166E-4</v>
      </c>
      <c r="N104" s="78"/>
      <c r="O104" s="78">
        <f t="shared" si="18"/>
        <v>4.4395424836601305E-7</v>
      </c>
      <c r="P104" s="78">
        <f t="shared" si="19"/>
        <v>7.848039215686275E-5</v>
      </c>
      <c r="Q104" s="78">
        <f t="shared" si="20"/>
        <v>4.9692513368983945E-5</v>
      </c>
      <c r="R104" s="78"/>
      <c r="S104" s="78">
        <f t="shared" si="21"/>
        <v>1.7842465753424661E-8</v>
      </c>
    </row>
    <row r="105" spans="11:19" x14ac:dyDescent="0.3">
      <c r="L105" t="s">
        <v>151</v>
      </c>
      <c r="M105" s="78">
        <f t="shared" si="17"/>
        <v>4.0461049284578693E-4</v>
      </c>
      <c r="N105" s="78"/>
      <c r="O105" s="78">
        <f t="shared" si="18"/>
        <v>3.1704793028322442E-7</v>
      </c>
      <c r="P105" s="78">
        <f t="shared" si="19"/>
        <v>8.8774509803921572E-5</v>
      </c>
      <c r="Q105" s="78">
        <f t="shared" si="20"/>
        <v>3.9759358288770055E-5</v>
      </c>
      <c r="R105" s="78"/>
      <c r="S105" s="78">
        <f t="shared" si="21"/>
        <v>2.1958098307816276E-5</v>
      </c>
    </row>
    <row r="106" spans="11:19" x14ac:dyDescent="0.3">
      <c r="L106" t="s">
        <v>152</v>
      </c>
      <c r="M106" s="78">
        <f t="shared" si="17"/>
        <v>4.9443561208267088E-5</v>
      </c>
      <c r="N106" s="78"/>
      <c r="O106" s="78">
        <f t="shared" si="18"/>
        <v>3.1737472766884531E-7</v>
      </c>
      <c r="P106" s="78">
        <f t="shared" si="19"/>
        <v>3.5210784313725494E-5</v>
      </c>
      <c r="Q106" s="78">
        <f t="shared" si="20"/>
        <v>1.8649732620320855E-5</v>
      </c>
      <c r="R106" s="78"/>
      <c r="S106" s="78">
        <f t="shared" si="21"/>
        <v>1.6790894439967767E-5</v>
      </c>
    </row>
    <row r="107" spans="11:19" x14ac:dyDescent="0.3">
      <c r="L107" t="s">
        <v>153</v>
      </c>
      <c r="M107" s="78">
        <f t="shared" si="17"/>
        <v>1.9765500794912556E-5</v>
      </c>
      <c r="N107" s="78"/>
      <c r="O107" s="78">
        <f t="shared" si="18"/>
        <v>1.8257080610021785E-7</v>
      </c>
      <c r="P107" s="78">
        <f t="shared" si="19"/>
        <v>3.3107843137254905E-5</v>
      </c>
      <c r="Q107" s="78">
        <f t="shared" si="20"/>
        <v>3.1684491978609622E-5</v>
      </c>
      <c r="R107" s="78"/>
      <c r="S107" s="78">
        <f t="shared" si="21"/>
        <v>9.5991136180499599E-6</v>
      </c>
    </row>
    <row r="108" spans="11:19" x14ac:dyDescent="0.3">
      <c r="L108" s="1" t="s">
        <v>160</v>
      </c>
      <c r="M108" s="78">
        <f t="shared" si="17"/>
        <v>1.7806339427662953E-4</v>
      </c>
      <c r="N108" s="78"/>
      <c r="O108" s="78">
        <f t="shared" si="18"/>
        <v>3.152369281045752E-7</v>
      </c>
      <c r="P108" s="78">
        <f t="shared" si="19"/>
        <v>5.8893382352941179E-5</v>
      </c>
      <c r="Q108" s="78">
        <f t="shared" si="20"/>
        <v>3.4946524064171115E-5</v>
      </c>
      <c r="R108" s="78"/>
      <c r="S108" s="78">
        <f t="shared" si="21"/>
        <v>1.2091487207896858E-5</v>
      </c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59FA0-E76E-4AF7-BA4D-93E5B02A17FE}">
  <dimension ref="C2:AC109"/>
  <sheetViews>
    <sheetView topLeftCell="M91" zoomScale="130" zoomScaleNormal="130" workbookViewId="0">
      <selection activeCell="AD77" sqref="AD77"/>
    </sheetView>
  </sheetViews>
  <sheetFormatPr defaultRowHeight="14.4" x14ac:dyDescent="0.3"/>
  <cols>
    <col min="29" max="29" width="12" bestFit="1" customWidth="1"/>
  </cols>
  <sheetData>
    <row r="2" spans="3:12" x14ac:dyDescent="0.3">
      <c r="G2" t="s">
        <v>167</v>
      </c>
    </row>
    <row r="3" spans="3:12" x14ac:dyDescent="0.3">
      <c r="D3" t="s">
        <v>108</v>
      </c>
      <c r="E3" t="s">
        <v>128</v>
      </c>
      <c r="F3" t="s">
        <v>110</v>
      </c>
      <c r="G3" t="s">
        <v>111</v>
      </c>
      <c r="H3" t="s">
        <v>114</v>
      </c>
      <c r="I3" t="s">
        <v>112</v>
      </c>
      <c r="J3" t="s">
        <v>113</v>
      </c>
      <c r="K3" t="s">
        <v>166</v>
      </c>
      <c r="L3" t="s">
        <v>165</v>
      </c>
    </row>
    <row r="4" spans="3:12" x14ac:dyDescent="0.3">
      <c r="C4" t="s">
        <v>134</v>
      </c>
      <c r="D4" s="78">
        <v>9.0148254423720703E-5</v>
      </c>
      <c r="E4" s="78">
        <v>9.7488383333603157E-6</v>
      </c>
      <c r="F4" s="78">
        <v>1.5211382361160688E-3</v>
      </c>
      <c r="G4" s="78">
        <v>1.1948874744798304E-3</v>
      </c>
      <c r="H4" s="78">
        <v>1.1646341395240928E-4</v>
      </c>
      <c r="I4" s="78">
        <v>0.10895465827679791</v>
      </c>
      <c r="J4" s="78">
        <v>9.9006974160667545E-5</v>
      </c>
      <c r="K4" s="78">
        <v>0.11198605146826397</v>
      </c>
      <c r="L4" s="78">
        <v>8.3545434969853566E-4</v>
      </c>
    </row>
    <row r="5" spans="3:12" x14ac:dyDescent="0.3">
      <c r="C5" t="s">
        <v>135</v>
      </c>
      <c r="D5" s="78">
        <v>1.1783835485413678E-3</v>
      </c>
      <c r="E5" s="78">
        <v>1.023519139987941E-5</v>
      </c>
      <c r="F5" s="78">
        <v>1.7357723859475183E-3</v>
      </c>
      <c r="G5" s="78">
        <v>1.0003518199006311E-3</v>
      </c>
      <c r="H5" s="78">
        <v>1.2714634071914336E-3</v>
      </c>
      <c r="I5" s="78">
        <v>0.69128890956561262</v>
      </c>
      <c r="J5" s="78">
        <v>1.314808435668763E-4</v>
      </c>
      <c r="K5" s="78">
        <v>0.69661659676216026</v>
      </c>
      <c r="L5" s="78">
        <v>3.6247175355930486E-3</v>
      </c>
    </row>
    <row r="6" spans="3:12" x14ac:dyDescent="0.3">
      <c r="C6" t="s">
        <v>136</v>
      </c>
      <c r="D6" s="78">
        <v>1.8388330942132952E-4</v>
      </c>
      <c r="E6" s="78">
        <v>2.09204408613138E-6</v>
      </c>
      <c r="F6" s="78">
        <v>2.5577236188247741E-4</v>
      </c>
      <c r="G6" s="78">
        <v>1.3203565223398318E-4</v>
      </c>
      <c r="H6" s="78">
        <v>1.4526829183257587E-4</v>
      </c>
      <c r="I6" s="78">
        <v>9.2787417649860218E-2</v>
      </c>
      <c r="J6" s="78">
        <v>1.4092335280408937E-4</v>
      </c>
      <c r="K6" s="78">
        <v>9.3647392662120812E-2</v>
      </c>
      <c r="L6" s="78">
        <v>4.8703336373309019E-4</v>
      </c>
    </row>
    <row r="7" spans="3:12" x14ac:dyDescent="0.3">
      <c r="C7" t="s">
        <v>137</v>
      </c>
      <c r="D7" s="78">
        <v>7.7235772357723566E-4</v>
      </c>
      <c r="E7" s="78">
        <v>3.3855980630523095E-6</v>
      </c>
      <c r="F7" s="78">
        <v>5.575609846757883E-4</v>
      </c>
      <c r="G7" s="78">
        <v>5.7985461838103635E-4</v>
      </c>
      <c r="H7" s="78">
        <v>1.5002438936571088E-4</v>
      </c>
      <c r="I7" s="78">
        <v>0.12132399108404553</v>
      </c>
      <c r="J7" s="78">
        <v>1.1491289839235671E-4</v>
      </c>
      <c r="K7" s="78">
        <v>0.1235020872965007</v>
      </c>
      <c r="L7" s="78">
        <v>7.1802857577139389E-4</v>
      </c>
    </row>
    <row r="8" spans="3:12" x14ac:dyDescent="0.3">
      <c r="C8" t="s">
        <v>138</v>
      </c>
      <c r="D8" s="78">
        <v>6.4992826398852215E-4</v>
      </c>
      <c r="E8" s="78">
        <v>8.5670729717288498E-6</v>
      </c>
      <c r="F8" s="78">
        <v>1.5626016514244168E-3</v>
      </c>
      <c r="G8" s="78">
        <v>3.8309100874637944E-4</v>
      </c>
      <c r="H8" s="78">
        <v>2.3485365716183223E-4</v>
      </c>
      <c r="I8" s="78">
        <v>0.55400673700066749</v>
      </c>
      <c r="J8" s="78">
        <v>1.4886760411805461E-4</v>
      </c>
      <c r="K8" s="78">
        <v>0.55699464625907835</v>
      </c>
      <c r="L8" s="78">
        <v>2.4667820590768609E-3</v>
      </c>
    </row>
    <row r="9" spans="3:12" x14ac:dyDescent="0.3">
      <c r="C9" t="s">
        <v>160</v>
      </c>
      <c r="D9" s="78">
        <v>5.7494021999043518E-4</v>
      </c>
      <c r="E9" s="78">
        <v>6.8057489708304543E-6</v>
      </c>
      <c r="F9" s="78">
        <v>1.126569124009254E-3</v>
      </c>
      <c r="G9" s="78">
        <v>6.5804411474837214E-4</v>
      </c>
      <c r="H9" s="78">
        <v>3.8361463190079233E-4</v>
      </c>
      <c r="I9" s="78">
        <v>0.31367234271539679</v>
      </c>
      <c r="J9" s="78">
        <v>1.2703833460840891E-4</v>
      </c>
      <c r="K9" s="78">
        <v>0.31654935488962488</v>
      </c>
      <c r="L9" s="78">
        <v>1.6264031767745861E-3</v>
      </c>
    </row>
    <row r="10" spans="3:12" x14ac:dyDescent="0.3">
      <c r="D10" s="78"/>
      <c r="E10" s="78"/>
      <c r="F10" s="78"/>
      <c r="G10" s="78"/>
      <c r="H10" s="78"/>
      <c r="I10" s="78"/>
      <c r="J10" s="78"/>
      <c r="K10" s="78"/>
      <c r="L10" s="78"/>
    </row>
    <row r="11" spans="3:12" x14ac:dyDescent="0.3">
      <c r="C11" t="s">
        <v>139</v>
      </c>
      <c r="D11" s="78">
        <v>4.806312769010042E-5</v>
      </c>
      <c r="E11" s="78">
        <v>1.0315040410800454E-5</v>
      </c>
      <c r="F11" s="78">
        <v>7.372357843452973E-4</v>
      </c>
      <c r="G11" s="78">
        <v>2.5234522522871389E-3</v>
      </c>
      <c r="H11" s="78">
        <v>5.2756097252159434E-4</v>
      </c>
      <c r="I11" s="78">
        <v>8.1986028437897526E-2</v>
      </c>
      <c r="J11" s="78">
        <v>3.8414636287923976E-5</v>
      </c>
      <c r="K11" s="78">
        <v>8.587107025144039E-2</v>
      </c>
      <c r="L11" s="78">
        <v>9.65705907686072E-4</v>
      </c>
    </row>
    <row r="12" spans="3:12" x14ac:dyDescent="0.3">
      <c r="C12" t="s">
        <v>140</v>
      </c>
      <c r="D12" s="78">
        <v>9.3448110951697757E-5</v>
      </c>
      <c r="E12" s="78">
        <v>8.7108011913867295E-7</v>
      </c>
      <c r="F12" s="78">
        <v>1.7252032800846061E-3</v>
      </c>
      <c r="G12" s="78">
        <v>1.9101783080742332E-3</v>
      </c>
      <c r="H12" s="78">
        <v>9.1463414098750747E-4</v>
      </c>
      <c r="I12" s="78">
        <v>4.623691446540161E-2</v>
      </c>
      <c r="J12" s="78">
        <v>3.8954706004443546E-5</v>
      </c>
      <c r="K12" s="78">
        <v>5.092020409162324E-2</v>
      </c>
      <c r="L12" s="78">
        <v>1.1260627248315348E-3</v>
      </c>
    </row>
    <row r="13" spans="3:12" x14ac:dyDescent="0.3">
      <c r="C13" t="s">
        <v>142</v>
      </c>
      <c r="D13" s="78">
        <v>6.4514586322333815E-4</v>
      </c>
      <c r="E13" s="78">
        <v>6.9788035544993361E-6</v>
      </c>
      <c r="F13" s="78">
        <v>1.3609756318857826E-3</v>
      </c>
      <c r="G13" s="78">
        <v>9.7795500855365905E-4</v>
      </c>
      <c r="H13" s="78">
        <v>3.3048780294348603E-4</v>
      </c>
      <c r="I13" s="78">
        <v>3.9372805837154357E-2</v>
      </c>
      <c r="J13" s="78">
        <v>5.12195150505653E-5</v>
      </c>
      <c r="K13" s="78">
        <v>4.2745568462365685E-2</v>
      </c>
      <c r="L13" s="78">
        <v>6.7094885240918077E-4</v>
      </c>
    </row>
    <row r="14" spans="3:12" x14ac:dyDescent="0.3">
      <c r="C14" t="s">
        <v>141</v>
      </c>
      <c r="D14" s="78">
        <v>1.6102343376374941E-4</v>
      </c>
      <c r="E14" s="78">
        <v>8.7108011913867295E-7</v>
      </c>
      <c r="F14" s="78">
        <v>4.700000076422765E-4</v>
      </c>
      <c r="G14" s="78">
        <v>6.6955912456131798E-4</v>
      </c>
      <c r="H14" s="78">
        <v>3.5707316864152291E-4</v>
      </c>
      <c r="I14" s="78">
        <v>5.8675933654661887E-2</v>
      </c>
      <c r="J14" s="78">
        <v>6.2473871078682705E-5</v>
      </c>
      <c r="K14" s="78">
        <v>6.0396934340468576E-2</v>
      </c>
      <c r="L14" s="78">
        <v>5.5744287379034304E-4</v>
      </c>
    </row>
    <row r="15" spans="3:12" x14ac:dyDescent="0.3">
      <c r="C15" t="s">
        <v>143</v>
      </c>
      <c r="D15" s="78">
        <v>7.5346724055475847E-5</v>
      </c>
      <c r="E15" s="78">
        <v>7.8324620712552349E-6</v>
      </c>
      <c r="F15" s="78">
        <v>1.6178862051688813E-3</v>
      </c>
      <c r="G15" s="78">
        <v>1.3860225660796463E-3</v>
      </c>
      <c r="H15" s="78">
        <v>7.0439023977917909E-4</v>
      </c>
      <c r="I15" s="78">
        <v>6.6062690148004116E-2</v>
      </c>
      <c r="J15" s="78">
        <v>5.0313591655113117E-5</v>
      </c>
      <c r="K15" s="78">
        <v>6.9904481936813673E-2</v>
      </c>
      <c r="L15" s="78">
        <v>1.0160846379895627E-3</v>
      </c>
    </row>
    <row r="16" spans="3:12" x14ac:dyDescent="0.3">
      <c r="C16" t="s">
        <v>160</v>
      </c>
      <c r="D16" s="78">
        <v>2.0460545193687227E-4</v>
      </c>
      <c r="E16" s="78">
        <v>8.3754353455183428E-6</v>
      </c>
      <c r="F16" s="78">
        <v>1.1822601818253686E-3</v>
      </c>
      <c r="G16" s="78">
        <v>1.493433451911199E-3</v>
      </c>
      <c r="H16" s="78">
        <v>5.6682926497465802E-4</v>
      </c>
      <c r="I16" s="78">
        <v>5.8466874508623902E-2</v>
      </c>
      <c r="J16" s="78">
        <v>4.8275264015345733E-5</v>
      </c>
      <c r="K16" s="78">
        <v>6.1970653558632863E-2</v>
      </c>
      <c r="L16" s="78">
        <v>8.6751089324618746E-4</v>
      </c>
    </row>
    <row r="17" spans="3:12" x14ac:dyDescent="0.3">
      <c r="D17" s="78"/>
      <c r="E17" s="78"/>
      <c r="F17" s="78"/>
      <c r="G17" s="78"/>
      <c r="H17" s="78"/>
      <c r="I17" s="78"/>
      <c r="J17" s="78"/>
      <c r="K17" s="78"/>
      <c r="L17" s="78"/>
    </row>
    <row r="18" spans="3:12" x14ac:dyDescent="0.3">
      <c r="C18" t="s">
        <v>144</v>
      </c>
      <c r="D18" s="78">
        <v>7.1329507412721182E-5</v>
      </c>
      <c r="E18" s="78">
        <v>4.1869917726598879E-6</v>
      </c>
      <c r="F18" s="78">
        <v>9.7886180453433803E-5</v>
      </c>
      <c r="G18" s="78">
        <v>4.8440433337352097E-4</v>
      </c>
      <c r="H18" s="78">
        <v>2.4634146197263532E-5</v>
      </c>
      <c r="I18" s="78">
        <v>7.0487775405808197E-3</v>
      </c>
      <c r="J18" s="78">
        <v>1.6175959089948939E-5</v>
      </c>
      <c r="K18" s="78">
        <v>7.7473946588803681E-3</v>
      </c>
      <c r="L18" s="78">
        <v>1.1131364949080407E-4</v>
      </c>
    </row>
    <row r="19" spans="3:12" x14ac:dyDescent="0.3">
      <c r="C19" t="s">
        <v>145</v>
      </c>
      <c r="D19" s="78">
        <v>2.2790530846484934E-5</v>
      </c>
      <c r="E19" s="78">
        <v>6.3835654730879091E-6</v>
      </c>
      <c r="F19" s="78">
        <v>1.656097587904026E-4</v>
      </c>
      <c r="G19" s="78">
        <v>2.5000000938086339E-4</v>
      </c>
      <c r="H19" s="78">
        <v>3.5902438814229632E-5</v>
      </c>
      <c r="I19" s="78">
        <v>1.3794419319406555E-2</v>
      </c>
      <c r="J19" s="78">
        <v>8.585366332285231E-6</v>
      </c>
      <c r="K19" s="78">
        <v>1.4283690989043909E-2</v>
      </c>
      <c r="L19" s="78">
        <v>1.2398743476718852E-4</v>
      </c>
    </row>
    <row r="20" spans="3:12" x14ac:dyDescent="0.3">
      <c r="C20" t="s">
        <v>146</v>
      </c>
      <c r="D20" s="78">
        <v>7.7929220468675277E-5</v>
      </c>
      <c r="E20" s="78">
        <v>5.2337397158248607E-6</v>
      </c>
      <c r="F20" s="78">
        <v>1.3731707540352969E-4</v>
      </c>
      <c r="G20" s="78">
        <v>8.659709518187975E-5</v>
      </c>
      <c r="H20" s="78">
        <v>4.0048780253372993E-5</v>
      </c>
      <c r="I20" s="78">
        <v>2.5982567533421237E-3</v>
      </c>
      <c r="J20" s="78">
        <v>8.6707321907028401E-7</v>
      </c>
      <c r="K20" s="78">
        <v>2.9462497375844767E-3</v>
      </c>
      <c r="L20" s="78">
        <v>6.5639750215331616E-5</v>
      </c>
    </row>
    <row r="21" spans="3:12" x14ac:dyDescent="0.3">
      <c r="C21" t="s">
        <v>147</v>
      </c>
      <c r="D21" s="78">
        <v>1.0124342419894787E-4</v>
      </c>
      <c r="E21" s="78">
        <v>1.86411145495676E-6</v>
      </c>
      <c r="F21" s="78">
        <v>4.0552846187851154E-5</v>
      </c>
      <c r="G21" s="78">
        <v>3.1883209451527566E-4</v>
      </c>
      <c r="H21" s="78">
        <v>2.5756097410208211E-5</v>
      </c>
      <c r="I21" s="78">
        <v>8.7421566234885187E-3</v>
      </c>
      <c r="J21" s="78">
        <v>4.7665507883791387E-6</v>
      </c>
      <c r="K21" s="78">
        <v>9.2351717480441391E-3</v>
      </c>
      <c r="L21" s="78">
        <v>9.1786999037341032E-5</v>
      </c>
    </row>
    <row r="22" spans="3:12" x14ac:dyDescent="0.3">
      <c r="C22" t="s">
        <v>148</v>
      </c>
      <c r="D22" s="78">
        <v>1.0408895265423242E-4</v>
      </c>
      <c r="E22" s="78">
        <v>1.8524970533682447E-5</v>
      </c>
      <c r="F22" s="78">
        <v>1.9130081611871247E-5</v>
      </c>
      <c r="G22" s="78">
        <v>6.8363041964842106E-5</v>
      </c>
      <c r="H22" s="78">
        <v>2.817073154241523E-5</v>
      </c>
      <c r="I22" s="78">
        <v>1.7331003206549182E-3</v>
      </c>
      <c r="J22" s="78">
        <v>4.5383277791402241E-6</v>
      </c>
      <c r="K22" s="78">
        <v>1.975916426741102E-3</v>
      </c>
      <c r="L22" s="78">
        <v>3.8755256624613667E-5</v>
      </c>
    </row>
    <row r="23" spans="3:12" x14ac:dyDescent="0.3">
      <c r="C23" t="s">
        <v>160</v>
      </c>
      <c r="D23" s="78">
        <v>7.5476327116212326E-5</v>
      </c>
      <c r="E23" s="78">
        <v>7.238675790042374E-6</v>
      </c>
      <c r="F23" s="78">
        <v>9.2099188489417678E-5</v>
      </c>
      <c r="G23" s="78">
        <v>2.4163931488327636E-4</v>
      </c>
      <c r="H23" s="78">
        <v>3.0902438843497928E-5</v>
      </c>
      <c r="I23" s="78">
        <v>6.7833421114945874E-3</v>
      </c>
      <c r="J23" s="78">
        <v>6.9866554417647623E-6</v>
      </c>
      <c r="K23" s="78">
        <v>7.2376847120587994E-3</v>
      </c>
      <c r="L23" s="78">
        <v>8.629661802705579E-5</v>
      </c>
    </row>
    <row r="24" spans="3:12" x14ac:dyDescent="0.3">
      <c r="D24" s="78"/>
      <c r="E24" s="78"/>
      <c r="F24" s="78"/>
      <c r="G24" s="78"/>
      <c r="H24" s="78"/>
      <c r="I24" s="78"/>
      <c r="J24" s="78"/>
      <c r="K24" s="78"/>
      <c r="L24" s="78"/>
    </row>
    <row r="25" spans="3:12" x14ac:dyDescent="0.3">
      <c r="C25" t="s">
        <v>149</v>
      </c>
      <c r="D25" s="78">
        <v>1.4347202295552365E-6</v>
      </c>
      <c r="E25" s="78">
        <v>8.7108011913867295E-7</v>
      </c>
      <c r="F25" s="78">
        <v>4.0593496595016203E-4</v>
      </c>
      <c r="G25" s="78">
        <v>7.6981710205692693E-4</v>
      </c>
      <c r="H25" s="78">
        <v>2.1773170604254613E-4</v>
      </c>
      <c r="I25" s="78">
        <v>8.7212507088847216E-2</v>
      </c>
      <c r="J25" s="78">
        <v>2.0749130076606557E-5</v>
      </c>
      <c r="K25" s="78">
        <v>8.8629045793322148E-2</v>
      </c>
      <c r="L25" s="78">
        <v>5.781793078988702E-4</v>
      </c>
    </row>
    <row r="26" spans="3:12" x14ac:dyDescent="0.3">
      <c r="C26" t="s">
        <v>150</v>
      </c>
      <c r="D26" s="78">
        <v>1.4344811095169777E-4</v>
      </c>
      <c r="E26" s="78">
        <v>1.1133855722790807E-5</v>
      </c>
      <c r="F26" s="78">
        <v>6.6268293760460056E-4</v>
      </c>
      <c r="G26" s="78">
        <v>1.877345286204326E-3</v>
      </c>
      <c r="H26" s="78">
        <v>2.1602438897936944E-7</v>
      </c>
      <c r="I26" s="78">
        <v>0.12951214097053337</v>
      </c>
      <c r="J26" s="78">
        <v>7.4337983238354467E-5</v>
      </c>
      <c r="K26" s="78">
        <v>0.13228130516864414</v>
      </c>
      <c r="L26" s="78">
        <v>7.9094020114505749E-4</v>
      </c>
    </row>
    <row r="27" spans="3:12" x14ac:dyDescent="0.3">
      <c r="C27" t="s">
        <v>151</v>
      </c>
      <c r="D27" s="78">
        <v>2.4342419894787183E-4</v>
      </c>
      <c r="E27" s="78">
        <v>5.3644017336956615E-6</v>
      </c>
      <c r="F27" s="78">
        <v>4.7325204021548032E-4</v>
      </c>
      <c r="G27" s="78">
        <v>2.1235929502286285E-3</v>
      </c>
      <c r="H27" s="78">
        <v>2.6585365698036879E-4</v>
      </c>
      <c r="I27" s="78">
        <v>0.10362365005282924</v>
      </c>
      <c r="J27" s="78">
        <v>3.5679444497808747E-5</v>
      </c>
      <c r="K27" s="78">
        <v>0.10677081674543309</v>
      </c>
      <c r="L27" s="78">
        <v>8.3384949587069976E-4</v>
      </c>
    </row>
    <row r="28" spans="3:12" x14ac:dyDescent="0.3">
      <c r="C28" t="s">
        <v>152</v>
      </c>
      <c r="D28" s="78">
        <v>2.9746532759445243E-5</v>
      </c>
      <c r="E28" s="78">
        <v>4.4091172030402507E-6</v>
      </c>
      <c r="F28" s="78">
        <v>4.7373984510146086E-4</v>
      </c>
      <c r="G28" s="78">
        <v>8.4228427175550742E-4</v>
      </c>
      <c r="H28" s="78">
        <v>2.0329268173682329E-4</v>
      </c>
      <c r="I28" s="78">
        <v>4.8606251453832149E-2</v>
      </c>
      <c r="J28" s="78">
        <v>3.355400883924788E-5</v>
      </c>
      <c r="K28" s="78">
        <v>5.0193277911227671E-2</v>
      </c>
      <c r="L28" s="78">
        <v>4.514664082687339E-4</v>
      </c>
    </row>
    <row r="29" spans="3:12" x14ac:dyDescent="0.3">
      <c r="C29" t="s">
        <v>153</v>
      </c>
      <c r="D29" s="78">
        <v>1.1891439502630319E-5</v>
      </c>
      <c r="E29" s="78">
        <v>2.2139953028107943E-6</v>
      </c>
      <c r="F29" s="78">
        <v>2.7252032963447689E-4</v>
      </c>
      <c r="G29" s="78">
        <v>7.919793918191141E-4</v>
      </c>
      <c r="H29" s="78">
        <v>1.1621951151481261E-4</v>
      </c>
      <c r="I29" s="78">
        <v>8.2578362685005138E-2</v>
      </c>
      <c r="J29" s="78">
        <v>7.414634559700882E-5</v>
      </c>
      <c r="K29" s="78">
        <v>8.3847333698375992E-2</v>
      </c>
      <c r="L29" s="78">
        <v>4.9477605512489233E-4</v>
      </c>
    </row>
    <row r="30" spans="3:12" x14ac:dyDescent="0.3">
      <c r="C30" t="s">
        <v>160</v>
      </c>
      <c r="D30" s="78">
        <v>1.0712757054041127E-4</v>
      </c>
      <c r="E30" s="78">
        <v>5.7803424905843792E-6</v>
      </c>
      <c r="F30" s="78">
        <v>4.7054878813900474E-4</v>
      </c>
      <c r="G30" s="78">
        <v>1.4088004750018941E-3</v>
      </c>
      <c r="H30" s="78">
        <v>1.4639546865524602E-4</v>
      </c>
      <c r="I30" s="78">
        <v>9.108010129054997E-2</v>
      </c>
      <c r="J30" s="78">
        <v>5.4429445543104977E-5</v>
      </c>
      <c r="K30" s="78">
        <v>9.3273183380920222E-2</v>
      </c>
      <c r="L30" s="78">
        <v>6.4275804010234592E-4</v>
      </c>
    </row>
    <row r="34" spans="3:11" x14ac:dyDescent="0.3">
      <c r="C34" t="s">
        <v>131</v>
      </c>
    </row>
    <row r="35" spans="3:11" x14ac:dyDescent="0.3">
      <c r="D35" t="s">
        <v>102</v>
      </c>
      <c r="E35" t="s">
        <v>103</v>
      </c>
      <c r="F35" t="s">
        <v>104</v>
      </c>
      <c r="G35" t="s">
        <v>105</v>
      </c>
      <c r="H35" t="s">
        <v>106</v>
      </c>
      <c r="I35" t="s">
        <v>107</v>
      </c>
      <c r="J35" t="s">
        <v>125</v>
      </c>
      <c r="K35" t="s">
        <v>164</v>
      </c>
    </row>
    <row r="36" spans="3:11" x14ac:dyDescent="0.3">
      <c r="C36" t="s">
        <v>134</v>
      </c>
      <c r="D36" s="78">
        <v>1.2009803921568627E-3</v>
      </c>
      <c r="E36" s="78">
        <v>1.014705882352941E-3</v>
      </c>
      <c r="F36" s="78">
        <v>2.8647058823529412E-4</v>
      </c>
      <c r="G36" s="78">
        <v>6.2020460358056261E-5</v>
      </c>
      <c r="H36" s="78">
        <v>2.5859319631467047E-5</v>
      </c>
      <c r="I36" s="78">
        <v>3.8800904977375561E-3</v>
      </c>
      <c r="J36" s="78">
        <v>6.4701271404721773E-3</v>
      </c>
      <c r="K36" s="78">
        <v>4.4477327945887778E-4</v>
      </c>
    </row>
    <row r="37" spans="3:11" x14ac:dyDescent="0.3">
      <c r="C37" t="s">
        <v>135</v>
      </c>
      <c r="D37" s="78">
        <v>7.1895424836601303E-4</v>
      </c>
      <c r="E37" s="78">
        <v>7.2242647058823523E-4</v>
      </c>
      <c r="F37" s="78">
        <v>2.7954751131221723E-4</v>
      </c>
      <c r="G37" s="78">
        <v>4.219948849104859E-5</v>
      </c>
      <c r="H37" s="78">
        <v>1.0223245924875973E-5</v>
      </c>
      <c r="I37" s="78">
        <v>3.1221719457013575E-3</v>
      </c>
      <c r="J37" s="78">
        <v>4.8955229103837469E-3</v>
      </c>
      <c r="K37" s="78">
        <v>3.6083591864524922E-4</v>
      </c>
    </row>
    <row r="38" spans="3:11" x14ac:dyDescent="0.3">
      <c r="C38" t="s">
        <v>136</v>
      </c>
      <c r="D38" s="78">
        <v>9.7222222222222219E-4</v>
      </c>
      <c r="E38" s="78">
        <v>2.0395220588235292E-3</v>
      </c>
      <c r="F38" s="78">
        <v>3.22420814479638E-4</v>
      </c>
      <c r="G38" s="78">
        <v>1.1656502065709227E-4</v>
      </c>
      <c r="H38" s="78">
        <v>1.8736711552090715E-5</v>
      </c>
      <c r="I38" s="78">
        <v>4.6945701357466061E-3</v>
      </c>
      <c r="J38" s="78">
        <v>8.164036963481178E-3</v>
      </c>
      <c r="K38" s="78">
        <v>5.3847268350310938E-4</v>
      </c>
    </row>
    <row r="39" spans="3:11" x14ac:dyDescent="0.3">
      <c r="C39" t="s">
        <v>137</v>
      </c>
      <c r="D39" s="78">
        <v>9.1503267973856218E-4</v>
      </c>
      <c r="E39" s="78">
        <v>2.4448529411764705E-3</v>
      </c>
      <c r="F39" s="78">
        <v>3.674434389140271E-4</v>
      </c>
      <c r="G39" s="78">
        <v>1.3574660633484164E-4</v>
      </c>
      <c r="H39" s="78">
        <v>2.035790219702339E-5</v>
      </c>
      <c r="I39" s="78">
        <v>4.7624434389140274E-3</v>
      </c>
      <c r="J39" s="78">
        <v>8.6458770072749512E-3</v>
      </c>
      <c r="K39" s="78">
        <v>5.6196845750598279E-4</v>
      </c>
    </row>
    <row r="40" spans="3:11" x14ac:dyDescent="0.3">
      <c r="C40" t="s">
        <v>138</v>
      </c>
      <c r="D40" s="78">
        <v>7.6797385620915027E-4</v>
      </c>
      <c r="E40" s="78">
        <v>1.9329044117647057E-3</v>
      </c>
      <c r="F40" s="78">
        <v>3.1244343891402717E-4</v>
      </c>
      <c r="G40" s="78">
        <v>1.1297462128664174E-4</v>
      </c>
      <c r="H40" s="78">
        <v>1.5015946137491139E-5</v>
      </c>
      <c r="I40" s="78">
        <v>4.2590497737556559E-3</v>
      </c>
      <c r="J40" s="78">
        <v>7.400362048067672E-3</v>
      </c>
      <c r="K40" s="78">
        <v>4.9343151777228849E-4</v>
      </c>
    </row>
    <row r="41" spans="3:11" x14ac:dyDescent="0.3">
      <c r="C41" t="s">
        <v>160</v>
      </c>
      <c r="D41" s="78">
        <v>9.2320261437908485E-4</v>
      </c>
      <c r="E41" s="78">
        <v>1.545036764705882E-3</v>
      </c>
      <c r="F41" s="78">
        <v>3.0961538461538464E-4</v>
      </c>
      <c r="G41" s="78">
        <v>8.921896517804446E-5</v>
      </c>
      <c r="H41" s="78">
        <v>1.809000708717222E-5</v>
      </c>
      <c r="I41" s="78">
        <v>4.0893665158371045E-3</v>
      </c>
      <c r="J41" s="78">
        <v>6.9745302518026729E-3</v>
      </c>
      <c r="K41" s="78">
        <v>4.7273213601814002E-4</v>
      </c>
    </row>
    <row r="42" spans="3:11" x14ac:dyDescent="0.3">
      <c r="D42" s="78"/>
      <c r="E42" s="78"/>
      <c r="F42" s="78"/>
      <c r="G42" s="78"/>
      <c r="H42" s="78"/>
      <c r="I42" s="78"/>
      <c r="J42" s="78"/>
      <c r="K42" s="78"/>
    </row>
    <row r="43" spans="3:11" x14ac:dyDescent="0.3">
      <c r="C43" t="s">
        <v>139</v>
      </c>
      <c r="D43" s="78">
        <v>5.0653594771241832E-4</v>
      </c>
      <c r="E43" s="78">
        <v>5.0091911764705882E-4</v>
      </c>
      <c r="F43" s="78">
        <v>2.7097285067873299E-4</v>
      </c>
      <c r="G43" s="78">
        <v>3.2559512099154041E-5</v>
      </c>
      <c r="H43" s="78">
        <v>8.8323883770375625E-6</v>
      </c>
      <c r="I43" s="78">
        <v>1.7816742081447966E-3</v>
      </c>
      <c r="J43" s="78">
        <v>3.1014940246591981E-3</v>
      </c>
      <c r="K43" s="78">
        <v>2.3449167465394645E-4</v>
      </c>
    </row>
    <row r="44" spans="3:11" x14ac:dyDescent="0.3">
      <c r="C44" t="s">
        <v>140</v>
      </c>
      <c r="D44" s="78">
        <v>4.0849673202614375E-4</v>
      </c>
      <c r="E44" s="78">
        <v>4.9678308823529406E-4</v>
      </c>
      <c r="F44" s="78">
        <v>2.1364253393665159E-4</v>
      </c>
      <c r="G44" s="78">
        <v>2.6018099547511314E-5</v>
      </c>
      <c r="H44" s="78">
        <v>7.3352232459248753E-6</v>
      </c>
      <c r="I44" s="78">
        <v>1.3009049773755655E-3</v>
      </c>
      <c r="J44" s="78">
        <v>2.453180654367091E-3</v>
      </c>
      <c r="K44" s="78">
        <v>1.7695793050762624E-4</v>
      </c>
    </row>
    <row r="45" spans="3:11" x14ac:dyDescent="0.3">
      <c r="C45" t="s">
        <v>142</v>
      </c>
      <c r="D45" s="78">
        <v>5.228758169934641E-4</v>
      </c>
      <c r="E45" s="78">
        <v>1.4136029411764704E-3</v>
      </c>
      <c r="F45" s="78">
        <v>2.6837104072398191E-4</v>
      </c>
      <c r="G45" s="78">
        <v>8.1988982884123566E-5</v>
      </c>
      <c r="H45" s="78">
        <v>1.3350460666194189E-5</v>
      </c>
      <c r="I45" s="78">
        <v>1.7590497737556563E-3</v>
      </c>
      <c r="J45" s="78">
        <v>4.0592390161998905E-3</v>
      </c>
      <c r="K45" s="78">
        <v>2.4962866747856607E-4</v>
      </c>
    </row>
    <row r="46" spans="3:11" x14ac:dyDescent="0.3">
      <c r="C46" t="s">
        <v>141</v>
      </c>
      <c r="D46" s="78">
        <v>4.5751633986928109E-4</v>
      </c>
      <c r="E46" s="78">
        <v>8.8602941176470597E-4</v>
      </c>
      <c r="F46" s="78">
        <v>2.1952488687782806E-4</v>
      </c>
      <c r="G46" s="78">
        <v>5.7249655715128862E-5</v>
      </c>
      <c r="H46" s="78">
        <v>8.0970942593905038E-6</v>
      </c>
      <c r="I46" s="78">
        <v>1.589366515837104E-3</v>
      </c>
      <c r="J46" s="78">
        <v>3.2177839043234383E-3</v>
      </c>
      <c r="K46" s="78">
        <v>2.1208507516823946E-4</v>
      </c>
    </row>
    <row r="47" spans="3:11" x14ac:dyDescent="0.3">
      <c r="C47" t="s">
        <v>143</v>
      </c>
      <c r="D47" s="78">
        <v>6.2091503267973857E-4</v>
      </c>
      <c r="E47" s="78">
        <v>1.0321691176470589E-3</v>
      </c>
      <c r="F47" s="78">
        <v>2.8726244343891405E-4</v>
      </c>
      <c r="G47" s="78">
        <v>6.4184536690930556E-5</v>
      </c>
      <c r="H47" s="78">
        <v>1.1374911410347271E-5</v>
      </c>
      <c r="I47" s="78">
        <v>2.7149321266968325E-3</v>
      </c>
      <c r="J47" s="78">
        <v>4.730838168563822E-3</v>
      </c>
      <c r="K47" s="78">
        <v>3.3236540335931811E-4</v>
      </c>
    </row>
    <row r="48" spans="3:11" x14ac:dyDescent="0.3">
      <c r="C48" t="s">
        <v>160</v>
      </c>
      <c r="D48" s="78">
        <v>4.9836601307189543E-4</v>
      </c>
      <c r="E48" s="78">
        <v>8.515625E-4</v>
      </c>
      <c r="F48" s="78">
        <v>2.5174208144796383E-4</v>
      </c>
      <c r="G48" s="78">
        <v>5.1101711587645095E-5</v>
      </c>
      <c r="H48" s="78">
        <v>9.8068745570517359E-6</v>
      </c>
      <c r="I48" s="78">
        <v>1.7816742081447966E-3</v>
      </c>
      <c r="J48" s="78">
        <v>3.4442533888093532E-3</v>
      </c>
      <c r="K48" s="78">
        <v>2.3651297992068784E-4</v>
      </c>
    </row>
    <row r="49" spans="3:11" x14ac:dyDescent="0.3">
      <c r="D49" s="78"/>
      <c r="E49" s="78"/>
      <c r="F49" s="78"/>
      <c r="G49" s="78"/>
      <c r="H49" s="78"/>
      <c r="I49" s="78"/>
      <c r="J49" s="78"/>
      <c r="K49" s="78"/>
    </row>
    <row r="50" spans="3:11" x14ac:dyDescent="0.3">
      <c r="C50" t="s">
        <v>144</v>
      </c>
      <c r="D50" s="78">
        <v>1.2990196078431374E-3</v>
      </c>
      <c r="E50" s="78">
        <v>2.1102941176470587E-3</v>
      </c>
      <c r="F50" s="78">
        <v>5.064932126696833E-4</v>
      </c>
      <c r="G50" s="78">
        <v>1.084497344088137E-4</v>
      </c>
      <c r="H50" s="78">
        <v>4.7758681785967396E-5</v>
      </c>
      <c r="I50" s="78">
        <v>7.4264705882352939E-3</v>
      </c>
      <c r="J50" s="78">
        <v>1.1498485942589953E-2</v>
      </c>
      <c r="K50" s="78">
        <v>8.4111628736375176E-4</v>
      </c>
    </row>
    <row r="51" spans="3:11" x14ac:dyDescent="0.3">
      <c r="C51" t="s">
        <v>145</v>
      </c>
      <c r="D51" s="78">
        <v>1.2254901960784314E-3</v>
      </c>
      <c r="E51" s="78">
        <v>2.5951286764705878E-3</v>
      </c>
      <c r="F51" s="78">
        <v>5.0022624434389136E-4</v>
      </c>
      <c r="G51" s="78">
        <v>1.3751721424355696E-4</v>
      </c>
      <c r="H51" s="78">
        <v>3.5745924875974489E-5</v>
      </c>
      <c r="I51" s="78">
        <v>6.2330316742081442E-3</v>
      </c>
      <c r="J51" s="78">
        <v>1.0727139930220586E-2</v>
      </c>
      <c r="K51" s="78">
        <v>7.3424547055378692E-4</v>
      </c>
    </row>
    <row r="52" spans="3:11" x14ac:dyDescent="0.3">
      <c r="C52" t="s">
        <v>146</v>
      </c>
      <c r="D52" s="78">
        <v>1.4297385620915034E-3</v>
      </c>
      <c r="E52" s="78">
        <v>3.7261029411764703E-3</v>
      </c>
      <c r="F52" s="78">
        <v>5.7047511312217198E-4</v>
      </c>
      <c r="G52" s="78">
        <v>2.2663781231556168E-4</v>
      </c>
      <c r="H52" s="78">
        <v>3.3513465627214739E-5</v>
      </c>
      <c r="I52" s="78">
        <v>6.7760180995475117E-3</v>
      </c>
      <c r="J52" s="78">
        <v>1.2762485993880433E-2</v>
      </c>
      <c r="K52" s="78">
        <v>8.1910483026101692E-4</v>
      </c>
    </row>
    <row r="53" spans="3:11" x14ac:dyDescent="0.3">
      <c r="C53" t="s">
        <v>147</v>
      </c>
      <c r="D53" s="78">
        <v>1.3398692810457516E-3</v>
      </c>
      <c r="E53" s="78">
        <v>4.1383272058823526E-3</v>
      </c>
      <c r="F53" s="78">
        <v>5.5219457013574655E-4</v>
      </c>
      <c r="G53" s="78">
        <v>2.1985048199881963E-4</v>
      </c>
      <c r="H53" s="78">
        <v>3.4284195605953228E-5</v>
      </c>
      <c r="I53" s="78">
        <v>5.9558823529411763E-3</v>
      </c>
      <c r="J53" s="78">
        <v>1.2240408087609799E-2</v>
      </c>
      <c r="K53" s="78">
        <v>7.4578565450776407E-4</v>
      </c>
    </row>
    <row r="54" spans="3:11" x14ac:dyDescent="0.3">
      <c r="C54" t="s">
        <v>148</v>
      </c>
      <c r="D54" s="78">
        <v>1.2745098039215687E-3</v>
      </c>
      <c r="E54" s="78">
        <v>3.6783088235294117E-3</v>
      </c>
      <c r="F54" s="78">
        <v>5.8373303167420809E-4</v>
      </c>
      <c r="G54" s="78">
        <v>1.9604564233720244E-4</v>
      </c>
      <c r="H54" s="78">
        <v>9.9955705173635713E-5</v>
      </c>
      <c r="I54" s="78">
        <v>1.2375565610859729E-2</v>
      </c>
      <c r="J54" s="78">
        <v>1.8208118617495755E-2</v>
      </c>
      <c r="K54" s="78">
        <v>1.3578206783074935E-3</v>
      </c>
    </row>
    <row r="55" spans="3:11" x14ac:dyDescent="0.3">
      <c r="C55" t="s">
        <v>160</v>
      </c>
      <c r="D55" s="78">
        <v>1.3153594771241831E-3</v>
      </c>
      <c r="E55" s="78">
        <v>3.1484375000000002E-3</v>
      </c>
      <c r="F55" s="78">
        <v>5.3873303167420808E-4</v>
      </c>
      <c r="G55" s="78">
        <v>1.7302773952390324E-4</v>
      </c>
      <c r="H55" s="78">
        <v>4.7652374202693128E-5</v>
      </c>
      <c r="I55" s="78">
        <v>7.5339366515837104E-3</v>
      </c>
      <c r="J55" s="78">
        <v>1.2757146774108698E-2</v>
      </c>
      <c r="K55" s="78">
        <v>8.7600533340898446E-4</v>
      </c>
    </row>
    <row r="56" spans="3:11" x14ac:dyDescent="0.3">
      <c r="D56" s="78"/>
      <c r="E56" s="78"/>
      <c r="F56" s="78"/>
      <c r="G56" s="78"/>
      <c r="H56" s="78"/>
      <c r="I56" s="78"/>
      <c r="J56" s="78"/>
      <c r="K56" s="78"/>
    </row>
    <row r="57" spans="3:11" x14ac:dyDescent="0.3">
      <c r="C57" t="s">
        <v>149</v>
      </c>
      <c r="D57" s="78">
        <v>6.2908496732026146E-4</v>
      </c>
      <c r="E57" s="78">
        <v>2.4715073529411762E-3</v>
      </c>
      <c r="F57" s="78">
        <v>4.1022624434389139E-4</v>
      </c>
      <c r="G57" s="78">
        <v>2.4665551839464885E-4</v>
      </c>
      <c r="H57" s="78">
        <v>1.9914953933380583E-5</v>
      </c>
      <c r="I57" s="78">
        <v>5.1923076923076922E-3</v>
      </c>
      <c r="J57" s="78">
        <v>8.9696967292410505E-3</v>
      </c>
      <c r="K57" s="78">
        <v>6.2133606758353198E-4</v>
      </c>
    </row>
    <row r="58" spans="3:11" x14ac:dyDescent="0.3">
      <c r="C58" t="s">
        <v>150</v>
      </c>
      <c r="D58" s="78">
        <v>5.3921568627450988E-4</v>
      </c>
      <c r="E58" s="78">
        <v>1.5666360294117646E-3</v>
      </c>
      <c r="F58" s="78">
        <v>3.9757918552036199E-4</v>
      </c>
      <c r="G58" s="78">
        <v>1.590104269132402E-4</v>
      </c>
      <c r="H58" s="78">
        <v>1.2500000000000001E-5</v>
      </c>
      <c r="I58" s="78">
        <v>4.19683257918552E-3</v>
      </c>
      <c r="J58" s="78">
        <v>6.8717739073053969E-3</v>
      </c>
      <c r="K58" s="78">
        <v>5.0604567845947144E-4</v>
      </c>
    </row>
    <row r="59" spans="3:11" x14ac:dyDescent="0.3">
      <c r="C59" t="s">
        <v>151</v>
      </c>
      <c r="D59" s="78">
        <v>6.3725490196078435E-4</v>
      </c>
      <c r="E59" s="78">
        <v>2.8042279411764708E-3</v>
      </c>
      <c r="F59" s="78">
        <v>4.2065610859728507E-4</v>
      </c>
      <c r="G59" s="78">
        <v>2.1345662010623646E-4</v>
      </c>
      <c r="H59" s="78">
        <v>1.2624025513819986E-5</v>
      </c>
      <c r="I59" s="78">
        <v>5.0509049773755652E-3</v>
      </c>
      <c r="J59" s="78">
        <v>9.1391245747301612E-3</v>
      </c>
      <c r="K59" s="78">
        <v>6.0709067808459283E-4</v>
      </c>
    </row>
    <row r="60" spans="3:11" x14ac:dyDescent="0.3">
      <c r="C60" t="s">
        <v>152</v>
      </c>
      <c r="D60" s="78">
        <v>7.1078431372549025E-4</v>
      </c>
      <c r="E60" s="78">
        <v>2.3644301470588237E-3</v>
      </c>
      <c r="F60" s="78">
        <v>4.9058823529411766E-4</v>
      </c>
      <c r="G60" s="78">
        <v>1.9230769230769231E-4</v>
      </c>
      <c r="H60" s="78">
        <v>1.3855421686746987E-5</v>
      </c>
      <c r="I60" s="78">
        <v>5.6674208144796377E-3</v>
      </c>
      <c r="J60" s="78">
        <v>9.4393866245525079E-3</v>
      </c>
      <c r="K60" s="78">
        <v>6.7169139177252748E-4</v>
      </c>
    </row>
    <row r="61" spans="3:11" x14ac:dyDescent="0.3">
      <c r="C61" t="s">
        <v>153</v>
      </c>
      <c r="D61" s="78">
        <v>7.1895424836601303E-4</v>
      </c>
      <c r="E61" s="78">
        <v>2.9545036764705881E-3</v>
      </c>
      <c r="F61" s="78">
        <v>4.6814479638009049E-4</v>
      </c>
      <c r="G61" s="78">
        <v>2.1365335431831596E-4</v>
      </c>
      <c r="H61" s="78">
        <v>1.2836640680368533E-5</v>
      </c>
      <c r="I61" s="78">
        <v>6.091628959276018E-3</v>
      </c>
      <c r="J61" s="78">
        <v>1.0459721675491394E-2</v>
      </c>
      <c r="K61" s="78">
        <v>7.1278619960161538E-4</v>
      </c>
    </row>
    <row r="62" spans="3:11" x14ac:dyDescent="0.3">
      <c r="C62" t="s">
        <v>160</v>
      </c>
      <c r="D62" s="78">
        <v>6.3725490196078435E-4</v>
      </c>
      <c r="E62" s="78">
        <v>2.3975183823529409E-3</v>
      </c>
      <c r="F62" s="78">
        <v>4.3099547511312217E-4</v>
      </c>
      <c r="G62" s="78">
        <v>2.0534133385795791E-4</v>
      </c>
      <c r="H62" s="78">
        <v>1.4502126151665487E-5</v>
      </c>
      <c r="I62" s="78">
        <v>5.1414027149321263E-3</v>
      </c>
      <c r="J62" s="78">
        <v>8.8270149343685975E-3</v>
      </c>
      <c r="K62" s="78">
        <v>6.1326604430052701E-4</v>
      </c>
    </row>
    <row r="66" spans="3:29" x14ac:dyDescent="0.3">
      <c r="C66" t="s">
        <v>133</v>
      </c>
      <c r="E66" t="s">
        <v>131</v>
      </c>
    </row>
    <row r="67" spans="3:29" x14ac:dyDescent="0.3">
      <c r="D67" t="s">
        <v>129</v>
      </c>
      <c r="E67" t="s">
        <v>108</v>
      </c>
      <c r="F67" t="s">
        <v>110</v>
      </c>
      <c r="G67" t="s">
        <v>111</v>
      </c>
      <c r="H67" t="s">
        <v>112</v>
      </c>
      <c r="I67" t="s">
        <v>114</v>
      </c>
    </row>
    <row r="68" spans="3:29" x14ac:dyDescent="0.3">
      <c r="D68" t="s">
        <v>134</v>
      </c>
      <c r="E68" s="78">
        <v>1.4984101748807631E-4</v>
      </c>
      <c r="F68" s="78">
        <v>1.0190631808278866E-6</v>
      </c>
      <c r="G68" s="78">
        <v>4.995098039215687E-5</v>
      </c>
      <c r="H68" s="78">
        <v>4.1804812834224592E-5</v>
      </c>
      <c r="I68" s="78">
        <v>9.6192586623690579E-6</v>
      </c>
    </row>
    <row r="69" spans="3:29" x14ac:dyDescent="0.3">
      <c r="D69" t="s">
        <v>135</v>
      </c>
      <c r="E69" s="78">
        <v>1.9586645468998411E-3</v>
      </c>
      <c r="F69" s="78">
        <v>1.1628540305010893E-6</v>
      </c>
      <c r="G69" s="78">
        <v>4.1818627450980392E-5</v>
      </c>
      <c r="H69" s="78">
        <v>2.6524064171122992E-4</v>
      </c>
      <c r="I69" s="78">
        <v>1.0501611603545528E-4</v>
      </c>
      <c r="L69" t="s">
        <v>46</v>
      </c>
    </row>
    <row r="70" spans="3:29" x14ac:dyDescent="0.3">
      <c r="D70" t="s">
        <v>136</v>
      </c>
      <c r="E70" s="78">
        <v>3.0564387917329095E-4</v>
      </c>
      <c r="F70" s="78">
        <v>1.7135076252723311E-7</v>
      </c>
      <c r="G70" s="78">
        <v>5.5196078431372543E-6</v>
      </c>
      <c r="H70" s="78">
        <v>3.5601604278074864E-5</v>
      </c>
      <c r="I70" s="78">
        <v>1.1998388396454473E-5</v>
      </c>
      <c r="M70" s="46" t="s">
        <v>168</v>
      </c>
      <c r="N70" s="46" t="s">
        <v>128</v>
      </c>
      <c r="O70" s="46" t="s">
        <v>110</v>
      </c>
      <c r="P70" s="46" t="s">
        <v>111</v>
      </c>
      <c r="Q70" s="46" t="s">
        <v>112</v>
      </c>
      <c r="R70" s="46" t="s">
        <v>113</v>
      </c>
      <c r="S70" s="46" t="s">
        <v>114</v>
      </c>
      <c r="T70" s="95">
        <v>1</v>
      </c>
      <c r="V70" s="46" t="s">
        <v>130</v>
      </c>
      <c r="W70" s="46" t="s">
        <v>128</v>
      </c>
      <c r="X70" s="46" t="s">
        <v>110</v>
      </c>
      <c r="Y70" s="46" t="s">
        <v>111</v>
      </c>
      <c r="Z70" s="46" t="s">
        <v>112</v>
      </c>
      <c r="AA70" s="46" t="s">
        <v>113</v>
      </c>
      <c r="AB70" s="46" t="s">
        <v>114</v>
      </c>
      <c r="AC70" s="76" t="s">
        <v>164</v>
      </c>
    </row>
    <row r="71" spans="3:29" x14ac:dyDescent="0.3">
      <c r="D71" t="s">
        <v>137</v>
      </c>
      <c r="E71" s="78">
        <v>1.2837837837837835E-3</v>
      </c>
      <c r="F71" s="78">
        <v>3.7352941176470592E-7</v>
      </c>
      <c r="G71" s="78">
        <v>2.4240196078431376E-5</v>
      </c>
      <c r="H71" s="78">
        <v>4.655080213903743E-5</v>
      </c>
      <c r="I71" s="78">
        <v>1.2391216760676872E-5</v>
      </c>
      <c r="L71" t="s">
        <v>116</v>
      </c>
      <c r="M71">
        <v>5.7494021999043518E-4</v>
      </c>
      <c r="N71">
        <v>6.8057489708304543E-6</v>
      </c>
      <c r="O71">
        <v>1.126569124009254E-3</v>
      </c>
      <c r="P71">
        <v>6.5804411474837214E-4</v>
      </c>
      <c r="Q71">
        <v>0.31367234271539679</v>
      </c>
      <c r="R71">
        <v>1.2703833460840891E-4</v>
      </c>
      <c r="S71">
        <v>3.8361463190079233E-4</v>
      </c>
      <c r="T71">
        <f>SUM(M71:S71)</f>
        <v>0.31654935488962488</v>
      </c>
      <c r="U71" t="s">
        <v>116</v>
      </c>
      <c r="V71">
        <v>3.0455489689415816E-5</v>
      </c>
      <c r="W71">
        <v>5.9378324973400227E-7</v>
      </c>
      <c r="X71">
        <v>1.755180625221665E-4</v>
      </c>
      <c r="Y71">
        <v>7.1082231342149276E-5</v>
      </c>
      <c r="Z71">
        <v>1.140294877640979E-3</v>
      </c>
      <c r="AA71">
        <v>9.2364594416578E-6</v>
      </c>
      <c r="AB71">
        <v>1.9922227288848352E-4</v>
      </c>
      <c r="AC71" s="25">
        <v>1.6264031767745861E-3</v>
      </c>
    </row>
    <row r="72" spans="3:29" x14ac:dyDescent="0.3">
      <c r="D72" t="s">
        <v>138</v>
      </c>
      <c r="E72" s="78">
        <v>1.0802861685214624E-3</v>
      </c>
      <c r="F72" s="78">
        <v>1.0468409586056643E-6</v>
      </c>
      <c r="G72" s="78">
        <v>1.6014705882352945E-5</v>
      </c>
      <c r="H72" s="78">
        <v>2.125668449197861E-4</v>
      </c>
      <c r="I72" s="78">
        <v>1.9397663174858986E-5</v>
      </c>
      <c r="L72" t="s">
        <v>117</v>
      </c>
      <c r="M72">
        <v>2.0460545193687227E-4</v>
      </c>
      <c r="N72">
        <v>8.3754353455183428E-6</v>
      </c>
      <c r="O72">
        <v>1.1822601818253686E-3</v>
      </c>
      <c r="P72">
        <v>1.493433451911199E-3</v>
      </c>
      <c r="Q72">
        <v>5.8466874508623902E-2</v>
      </c>
      <c r="R72">
        <v>4.8275264015345733E-5</v>
      </c>
      <c r="S72">
        <v>5.6682926497465802E-4</v>
      </c>
      <c r="T72">
        <f t="shared" ref="T72:T74" si="0">SUM(M72:S72)</f>
        <v>6.1970653558632863E-2</v>
      </c>
      <c r="U72" t="s">
        <v>117</v>
      </c>
      <c r="V72">
        <v>1.0838273293813648E-5</v>
      </c>
      <c r="W72">
        <v>7.3073415412676712E-7</v>
      </c>
      <c r="X72">
        <v>1.8419465977605512E-4</v>
      </c>
      <c r="Y72">
        <v>1.613213760956579E-4</v>
      </c>
      <c r="Z72">
        <v>2.1254496630693624E-4</v>
      </c>
      <c r="AA72">
        <v>3.5099052540913011E-6</v>
      </c>
      <c r="AB72">
        <v>2.9437097836550646E-4</v>
      </c>
      <c r="AC72" s="25">
        <v>8.6751089324618746E-4</v>
      </c>
    </row>
    <row r="73" spans="3:29" x14ac:dyDescent="0.3">
      <c r="D73" t="s">
        <v>160</v>
      </c>
      <c r="E73" s="78">
        <v>9.5564387917329086E-4</v>
      </c>
      <c r="F73" s="78">
        <v>7.5472766884531585E-7</v>
      </c>
      <c r="G73" s="78">
        <v>2.750882352941177E-5</v>
      </c>
      <c r="H73" s="78">
        <v>1.2035294117647058E-4</v>
      </c>
      <c r="I73" s="78">
        <v>3.1684528605962926E-5</v>
      </c>
      <c r="L73" t="s">
        <v>118</v>
      </c>
      <c r="M73">
        <v>7.5476327116212326E-5</v>
      </c>
      <c r="N73">
        <v>7.238675790042374E-6</v>
      </c>
      <c r="O73">
        <v>9.2099188489417678E-5</v>
      </c>
      <c r="P73">
        <v>2.4163931488327636E-4</v>
      </c>
      <c r="Q73">
        <v>6.7833421114945874E-3</v>
      </c>
      <c r="R73">
        <v>6.9866554417647623E-6</v>
      </c>
      <c r="S73">
        <v>3.0902438843497928E-5</v>
      </c>
      <c r="T73">
        <f t="shared" si="0"/>
        <v>7.2376847120587994E-3</v>
      </c>
      <c r="U73" t="s">
        <v>118</v>
      </c>
      <c r="V73">
        <v>3.9981000151998782E-6</v>
      </c>
      <c r="W73">
        <v>6.3155494756041962E-7</v>
      </c>
      <c r="X73">
        <v>1.4348938541824997E-5</v>
      </c>
      <c r="Y73">
        <v>2.6101991184070529E-5</v>
      </c>
      <c r="Z73">
        <v>2.4659522723818212E-5</v>
      </c>
      <c r="AA73">
        <v>5.0797233622131019E-7</v>
      </c>
      <c r="AB73">
        <v>1.6048538278360445E-5</v>
      </c>
      <c r="AC73" s="25">
        <v>8.629661802705579E-5</v>
      </c>
    </row>
    <row r="74" spans="3:29" x14ac:dyDescent="0.3">
      <c r="E74" s="78"/>
      <c r="F74" s="78"/>
      <c r="G74" s="78"/>
      <c r="H74" s="78"/>
      <c r="I74" s="78"/>
      <c r="L74" t="s">
        <v>119</v>
      </c>
      <c r="M74">
        <v>1.0712757054041127E-4</v>
      </c>
      <c r="N74">
        <v>5.7803424905843792E-6</v>
      </c>
      <c r="O74">
        <v>4.7054878813900474E-4</v>
      </c>
      <c r="P74">
        <v>1.4088004750018941E-3</v>
      </c>
      <c r="Q74">
        <v>9.108010129054997E-2</v>
      </c>
      <c r="R74">
        <v>5.4429445543104977E-5</v>
      </c>
      <c r="S74">
        <v>1.4639546865524602E-4</v>
      </c>
      <c r="T74">
        <f t="shared" si="0"/>
        <v>9.3273183380920222E-2</v>
      </c>
      <c r="U74" t="s">
        <v>119</v>
      </c>
      <c r="V74">
        <v>5.6747162689365146E-6</v>
      </c>
      <c r="W74">
        <v>5.0431929877894315E-7</v>
      </c>
      <c r="X74">
        <v>7.3310913512691911E-5</v>
      </c>
      <c r="Y74">
        <v>1.5217928256573948E-4</v>
      </c>
      <c r="Z74">
        <v>3.3110401783452398E-4</v>
      </c>
      <c r="AA74">
        <v>3.957351674519937E-6</v>
      </c>
      <c r="AB74">
        <v>7.6027438947155095E-5</v>
      </c>
      <c r="AC74" s="25">
        <v>6.4275804010234592E-4</v>
      </c>
    </row>
    <row r="75" spans="3:29" x14ac:dyDescent="0.3">
      <c r="D75" t="s">
        <v>139</v>
      </c>
      <c r="E75" s="78">
        <v>7.9888712241653396E-5</v>
      </c>
      <c r="F75" s="78">
        <v>4.9389978213507634E-7</v>
      </c>
      <c r="G75" s="78">
        <v>1.0549019607843137E-4</v>
      </c>
      <c r="H75" s="78">
        <v>3.1457219251336901E-5</v>
      </c>
      <c r="I75" s="78">
        <v>4.3573730862207903E-5</v>
      </c>
    </row>
    <row r="76" spans="3:29" x14ac:dyDescent="0.3">
      <c r="D76" t="s">
        <v>140</v>
      </c>
      <c r="E76" s="78">
        <v>1.5532591414944356E-4</v>
      </c>
      <c r="F76" s="78">
        <v>1.1557734204793029E-6</v>
      </c>
      <c r="G76" s="78">
        <v>7.9852941176470602E-5</v>
      </c>
      <c r="H76" s="78">
        <v>1.7740641711229943E-5</v>
      </c>
      <c r="I76" s="78">
        <v>7.5543916196615636E-5</v>
      </c>
      <c r="V76" t="s">
        <v>168</v>
      </c>
      <c r="W76" t="s">
        <v>128</v>
      </c>
      <c r="X76" t="s">
        <v>110</v>
      </c>
      <c r="Y76" t="s">
        <v>111</v>
      </c>
      <c r="Z76" t="s">
        <v>112</v>
      </c>
      <c r="AA76" t="s">
        <v>113</v>
      </c>
      <c r="AB76" t="s">
        <v>114</v>
      </c>
    </row>
    <row r="77" spans="3:29" x14ac:dyDescent="0.3">
      <c r="D77" t="s">
        <v>142</v>
      </c>
      <c r="E77" s="78">
        <v>1.0723370429252782E-3</v>
      </c>
      <c r="F77" s="78">
        <v>9.1176470588235292E-7</v>
      </c>
      <c r="G77" s="78">
        <v>4.0882352941176474E-5</v>
      </c>
      <c r="H77" s="78">
        <v>1.5106951871657754E-5</v>
      </c>
      <c r="I77" s="78">
        <v>2.7296535052377117E-5</v>
      </c>
      <c r="L77" t="s">
        <v>116</v>
      </c>
      <c r="M77" s="11">
        <f>M71*100/T71</f>
        <v>0.1816273548214643</v>
      </c>
      <c r="N77" s="11">
        <f>N71*100/T71</f>
        <v>2.1499803634739668E-3</v>
      </c>
      <c r="O77" s="11">
        <f>O71*100/T71</f>
        <v>0.3558905133141303</v>
      </c>
      <c r="P77" s="11">
        <f>P71*100/T71</f>
        <v>0.20788041567098453</v>
      </c>
      <c r="Q77" s="11">
        <f>Q71*100/T71</f>
        <v>99.091133142498038</v>
      </c>
      <c r="R77" s="11">
        <f>R71*100/T71</f>
        <v>4.0132236141408317E-2</v>
      </c>
      <c r="S77" s="11">
        <f>S71*100/T71</f>
        <v>0.12118635719050887</v>
      </c>
      <c r="T77" s="11"/>
      <c r="U77" s="11" t="s">
        <v>116</v>
      </c>
      <c r="V77" s="11">
        <f>V71*100/AC71</f>
        <v>1.8725670316147474</v>
      </c>
      <c r="W77" s="11">
        <f>W71*100/AC71</f>
        <v>3.6508982410595636E-2</v>
      </c>
      <c r="X77" s="11">
        <f>X71*100/AC71</f>
        <v>10.791792897886888</v>
      </c>
      <c r="Y77" s="11">
        <f>Y71*100/AC71</f>
        <v>4.3705172467208619</v>
      </c>
      <c r="Z77" s="11">
        <f>Z71*100/AC71</f>
        <v>70.111451694429391</v>
      </c>
      <c r="AA77" s="11">
        <f>AA71*100/AC71</f>
        <v>0.56790712005218502</v>
      </c>
      <c r="AB77" s="11">
        <f>AB71*100/AC71</f>
        <v>12.24925502688532</v>
      </c>
    </row>
    <row r="78" spans="3:29" x14ac:dyDescent="0.3">
      <c r="D78" t="s">
        <v>141</v>
      </c>
      <c r="E78" s="78">
        <v>2.6764705882352942E-4</v>
      </c>
      <c r="F78" s="78">
        <v>3.1486928104575164E-7</v>
      </c>
      <c r="G78" s="78">
        <v>2.7990196078431369E-5</v>
      </c>
      <c r="H78" s="78">
        <v>2.2513368983957219E-5</v>
      </c>
      <c r="I78" s="78">
        <v>2.9492344883158742E-5</v>
      </c>
      <c r="L78" t="s">
        <v>117</v>
      </c>
      <c r="M78" s="11">
        <f t="shared" ref="M78:M80" si="1">M72*100/T72</f>
        <v>0.33016507038010667</v>
      </c>
      <c r="N78" s="11">
        <f t="shared" ref="N78:N80" si="2">N72*100/T72</f>
        <v>1.351516381474663E-2</v>
      </c>
      <c r="O78" s="11">
        <f t="shared" ref="O78:O80" si="3">O72*100/T72</f>
        <v>1.9077742672292233</v>
      </c>
      <c r="P78" s="11">
        <f t="shared" ref="P78:P80" si="4">P72*100/T72</f>
        <v>2.4099043113983023</v>
      </c>
      <c r="Q78" s="11">
        <f t="shared" ref="Q78:Q80" si="5">Q72*100/T72</f>
        <v>94.346067293458674</v>
      </c>
      <c r="R78" s="11">
        <f t="shared" ref="R78:R80" si="6">R72*100/T72</f>
        <v>7.7900201535990921E-2</v>
      </c>
      <c r="S78" s="11">
        <f t="shared" ref="S78:S80" si="7">S72*100/T72</f>
        <v>0.9146736921829598</v>
      </c>
      <c r="T78" s="11"/>
      <c r="U78" s="11" t="s">
        <v>117</v>
      </c>
      <c r="V78" s="11">
        <f t="shared" ref="V78:V80" si="8">V72*100/AC72</f>
        <v>1.2493529912065204</v>
      </c>
      <c r="W78" s="11">
        <f t="shared" ref="W78:W80" si="9">W72*100/AC72</f>
        <v>8.4233426901694816E-2</v>
      </c>
      <c r="X78" s="11">
        <f t="shared" ref="X78:X80" si="10">X72*100/AC72</f>
        <v>21.232547188751354</v>
      </c>
      <c r="Y78" s="11">
        <f t="shared" ref="Y78:Y80" si="11">Y72*100/AC72</f>
        <v>18.595890535967843</v>
      </c>
      <c r="Z78" s="11">
        <f t="shared" ref="Z78:Z80" si="12">Z72*100/AC72</f>
        <v>24.500553014568194</v>
      </c>
      <c r="AA78" s="11">
        <f t="shared" ref="AA78:AA80" si="13">AA72*100/AC72</f>
        <v>0.40459494876858443</v>
      </c>
      <c r="AB78" s="11">
        <f t="shared" ref="AB78:AB80" si="14">AB72*100/AC72</f>
        <v>33.932827893835807</v>
      </c>
    </row>
    <row r="79" spans="3:29" x14ac:dyDescent="0.3">
      <c r="D79" t="s">
        <v>143</v>
      </c>
      <c r="E79" s="78">
        <v>1.2523847376788553E-4</v>
      </c>
      <c r="F79" s="78">
        <v>1.0838779956427015E-6</v>
      </c>
      <c r="G79" s="78">
        <v>5.7941176470588244E-5</v>
      </c>
      <c r="H79" s="78">
        <v>2.5347593582887696E-5</v>
      </c>
      <c r="I79" s="78">
        <v>5.8178887993553585E-5</v>
      </c>
      <c r="L79" t="s">
        <v>118</v>
      </c>
      <c r="M79" s="11">
        <f t="shared" si="1"/>
        <v>1.0428241919748211</v>
      </c>
      <c r="N79" s="11">
        <f t="shared" si="2"/>
        <v>0.10001369330142169</v>
      </c>
      <c r="O79" s="11">
        <f t="shared" si="3"/>
        <v>1.2724951715010471</v>
      </c>
      <c r="P79" s="11">
        <f t="shared" si="4"/>
        <v>3.3386272612936287</v>
      </c>
      <c r="Q79" s="11">
        <f t="shared" si="5"/>
        <v>93.722542240514755</v>
      </c>
      <c r="R79" s="11">
        <f t="shared" si="6"/>
        <v>9.6531635733236712E-2</v>
      </c>
      <c r="S79" s="11">
        <f t="shared" si="7"/>
        <v>0.42696580568107617</v>
      </c>
      <c r="T79" s="11"/>
      <c r="U79" s="11" t="s">
        <v>118</v>
      </c>
      <c r="V79" s="11">
        <f t="shared" si="8"/>
        <v>4.6329741612196091</v>
      </c>
      <c r="W79" s="11">
        <f t="shared" si="9"/>
        <v>0.73184206055724454</v>
      </c>
      <c r="X79" s="11">
        <f t="shared" si="10"/>
        <v>16.627463358212143</v>
      </c>
      <c r="Y79" s="11">
        <f t="shared" si="11"/>
        <v>30.246829807266618</v>
      </c>
      <c r="Z79" s="11">
        <f t="shared" si="12"/>
        <v>28.575306063659337</v>
      </c>
      <c r="AA79" s="11">
        <f t="shared" si="13"/>
        <v>0.58863527660151216</v>
      </c>
      <c r="AB79" s="11">
        <f t="shared" si="14"/>
        <v>18.596949272483535</v>
      </c>
    </row>
    <row r="80" spans="3:29" x14ac:dyDescent="0.3">
      <c r="D80" t="s">
        <v>160</v>
      </c>
      <c r="E80" s="78">
        <v>3.4008744038155797E-4</v>
      </c>
      <c r="F80" s="78">
        <v>7.9203703703703703E-7</v>
      </c>
      <c r="G80" s="78">
        <v>6.2431372549019614E-5</v>
      </c>
      <c r="H80" s="78">
        <v>2.2433155080213902E-5</v>
      </c>
      <c r="I80" s="78">
        <v>4.6817082997582598E-5</v>
      </c>
      <c r="L80" t="s">
        <v>119</v>
      </c>
      <c r="M80" s="11">
        <f t="shared" si="1"/>
        <v>0.11485355882291574</v>
      </c>
      <c r="N80" s="11">
        <f t="shared" si="2"/>
        <v>6.1972179795535898E-3</v>
      </c>
      <c r="O80" s="11">
        <f t="shared" si="3"/>
        <v>0.50448453787335756</v>
      </c>
      <c r="P80" s="11">
        <f t="shared" si="4"/>
        <v>1.5104024800445224</v>
      </c>
      <c r="Q80" s="11">
        <f t="shared" si="5"/>
        <v>97.648753895946825</v>
      </c>
      <c r="R80" s="11">
        <f t="shared" si="6"/>
        <v>5.8354870682197552E-2</v>
      </c>
      <c r="S80" s="11">
        <f t="shared" si="7"/>
        <v>0.15695343865061262</v>
      </c>
      <c r="T80" s="11"/>
      <c r="U80" s="11" t="s">
        <v>119</v>
      </c>
      <c r="V80" s="11">
        <f t="shared" si="8"/>
        <v>0.88286974489388459</v>
      </c>
      <c r="W80" s="11">
        <f t="shared" si="9"/>
        <v>7.8461764352047741E-2</v>
      </c>
      <c r="X80" s="11">
        <f t="shared" si="10"/>
        <v>11.405678177284047</v>
      </c>
      <c r="Y80" s="11">
        <f t="shared" si="11"/>
        <v>23.675982729287693</v>
      </c>
      <c r="Z80" s="11">
        <f t="shared" si="12"/>
        <v>51.513010678451025</v>
      </c>
      <c r="AA80" s="11">
        <f t="shared" si="13"/>
        <v>0.61568295184449362</v>
      </c>
      <c r="AB80" s="11">
        <f t="shared" si="14"/>
        <v>11.8283139538868</v>
      </c>
    </row>
    <row r="81" spans="4:9" x14ac:dyDescent="0.3">
      <c r="E81" s="78"/>
      <c r="F81" s="78"/>
      <c r="G81" s="78"/>
      <c r="H81" s="78"/>
      <c r="I81" s="78"/>
    </row>
    <row r="82" spans="4:9" x14ac:dyDescent="0.3">
      <c r="D82" t="s">
        <v>144</v>
      </c>
      <c r="E82" s="78">
        <v>1.185612082670906E-4</v>
      </c>
      <c r="F82" s="78">
        <v>6.5577342047930275E-8</v>
      </c>
      <c r="G82" s="78">
        <v>2.0250000000000001E-5</v>
      </c>
      <c r="H82" s="78">
        <v>2.7045454545454545E-6</v>
      </c>
      <c r="I82" s="78">
        <v>2.0346494762288478E-6</v>
      </c>
    </row>
    <row r="83" spans="4:9" x14ac:dyDescent="0.3">
      <c r="D83" t="s">
        <v>145</v>
      </c>
      <c r="E83" s="78">
        <v>3.7881558028616851E-5</v>
      </c>
      <c r="F83" s="78">
        <v>1.1094771241830068E-7</v>
      </c>
      <c r="G83" s="78">
        <v>1.0450980392156863E-5</v>
      </c>
      <c r="H83" s="78">
        <v>5.292780748663101E-6</v>
      </c>
      <c r="I83" s="78">
        <v>2.9653505237711526E-6</v>
      </c>
    </row>
    <row r="84" spans="4:9" x14ac:dyDescent="0.3">
      <c r="D84" t="s">
        <v>146</v>
      </c>
      <c r="E84" s="78">
        <v>1.2953100158982512E-4</v>
      </c>
      <c r="F84" s="78">
        <v>9.1993464052287593E-8</v>
      </c>
      <c r="G84" s="78">
        <v>3.6200980392156864E-6</v>
      </c>
      <c r="H84" s="78">
        <v>9.9692513368983946E-7</v>
      </c>
      <c r="I84" s="78">
        <v>3.3078162771958099E-6</v>
      </c>
    </row>
    <row r="85" spans="4:9" x14ac:dyDescent="0.3">
      <c r="D85" t="s">
        <v>147</v>
      </c>
      <c r="E85" s="78">
        <v>1.6828298887122415E-4</v>
      </c>
      <c r="F85" s="78">
        <v>2.7167755991285405E-8</v>
      </c>
      <c r="G85" s="78">
        <v>1.3328431372549021E-5</v>
      </c>
      <c r="H85" s="78">
        <v>3.3542780748663098E-6</v>
      </c>
      <c r="I85" s="78">
        <v>2.1273166800966963E-6</v>
      </c>
    </row>
    <row r="86" spans="4:9" x14ac:dyDescent="0.3">
      <c r="D86" t="s">
        <v>148</v>
      </c>
      <c r="E86" s="78">
        <v>1.7301271860095389E-4</v>
      </c>
      <c r="F86" s="78">
        <v>1.2815904139433552E-8</v>
      </c>
      <c r="G86" s="78">
        <v>2.8578431372549024E-6</v>
      </c>
      <c r="H86" s="78">
        <v>6.6497326203208548E-7</v>
      </c>
      <c r="I86" s="78">
        <v>2.3267526188557618E-6</v>
      </c>
    </row>
    <row r="87" spans="4:9" x14ac:dyDescent="0.3">
      <c r="D87" t="s">
        <v>160</v>
      </c>
      <c r="E87" s="78">
        <v>1.2545389507154212E-4</v>
      </c>
      <c r="F87" s="78">
        <v>6.170043572984748E-8</v>
      </c>
      <c r="G87" s="78">
        <v>1.0101470588235294E-5</v>
      </c>
      <c r="H87" s="78">
        <v>2.6027005347593584E-6</v>
      </c>
      <c r="I87" s="78">
        <v>2.5523771152296544E-6</v>
      </c>
    </row>
    <row r="88" spans="4:9" x14ac:dyDescent="0.3">
      <c r="E88" s="78"/>
      <c r="F88" s="78"/>
      <c r="G88" s="78"/>
      <c r="H88" s="78"/>
      <c r="I88" s="78"/>
    </row>
    <row r="89" spans="4:9" x14ac:dyDescent="0.3">
      <c r="D89" t="s">
        <v>149</v>
      </c>
      <c r="E89" s="78">
        <v>2.3847376788553253E-6</v>
      </c>
      <c r="F89" s="78">
        <v>2.7194989106753814E-7</v>
      </c>
      <c r="G89" s="78">
        <v>3.2181372549019611E-5</v>
      </c>
      <c r="H89" s="78">
        <v>3.3462566844919791E-5</v>
      </c>
      <c r="I89" s="78">
        <v>1.7983481063658341E-5</v>
      </c>
    </row>
    <row r="90" spans="4:9" x14ac:dyDescent="0.3">
      <c r="D90" t="s">
        <v>150</v>
      </c>
      <c r="E90" s="78">
        <v>2.3843402225755166E-4</v>
      </c>
      <c r="F90" s="78">
        <v>4.4395424836601305E-7</v>
      </c>
      <c r="G90" s="78">
        <v>7.848039215686275E-5</v>
      </c>
      <c r="H90" s="78">
        <v>4.9692513368983945E-5</v>
      </c>
      <c r="I90" s="78">
        <v>1.7842465753424661E-8</v>
      </c>
    </row>
    <row r="91" spans="4:9" x14ac:dyDescent="0.3">
      <c r="D91" t="s">
        <v>151</v>
      </c>
      <c r="E91" s="78">
        <v>4.0461049284578693E-4</v>
      </c>
      <c r="F91" s="78">
        <v>3.1704793028322442E-7</v>
      </c>
      <c r="G91" s="78">
        <v>8.8774509803921572E-5</v>
      </c>
      <c r="H91" s="78">
        <v>3.9759358288770055E-5</v>
      </c>
      <c r="I91" s="78">
        <v>2.1958098307816276E-5</v>
      </c>
    </row>
    <row r="92" spans="4:9" x14ac:dyDescent="0.3">
      <c r="D92" t="s">
        <v>152</v>
      </c>
      <c r="E92" s="78">
        <v>4.9443561208267088E-5</v>
      </c>
      <c r="F92" s="78">
        <v>3.1737472766884531E-7</v>
      </c>
      <c r="G92" s="78">
        <v>3.5210784313725494E-5</v>
      </c>
      <c r="H92" s="78">
        <v>1.8649732620320855E-5</v>
      </c>
      <c r="I92" s="78">
        <v>1.6790894439967767E-5</v>
      </c>
    </row>
    <row r="93" spans="4:9" x14ac:dyDescent="0.3">
      <c r="D93" t="s">
        <v>153</v>
      </c>
      <c r="E93" s="78">
        <v>1.9765500794912556E-5</v>
      </c>
      <c r="F93" s="78">
        <v>1.8257080610021785E-7</v>
      </c>
      <c r="G93" s="78">
        <v>3.3107843137254905E-5</v>
      </c>
      <c r="H93" s="78">
        <v>3.1684491978609622E-5</v>
      </c>
      <c r="I93" s="78">
        <v>9.5991136180499599E-6</v>
      </c>
    </row>
    <row r="94" spans="4:9" x14ac:dyDescent="0.3">
      <c r="D94" t="s">
        <v>160</v>
      </c>
      <c r="E94" s="78">
        <v>1.7806339427662953E-4</v>
      </c>
      <c r="F94" s="78">
        <v>3.152369281045752E-7</v>
      </c>
      <c r="G94" s="78">
        <v>5.8893382352941179E-5</v>
      </c>
      <c r="H94" s="78">
        <v>3.4946524064171115E-5</v>
      </c>
      <c r="I94" s="78">
        <v>1.2091487207896858E-5</v>
      </c>
    </row>
    <row r="98" spans="4:20" x14ac:dyDescent="0.3">
      <c r="D98" s="46"/>
      <c r="E98" s="46" t="s">
        <v>102</v>
      </c>
      <c r="F98" s="46" t="s">
        <v>103</v>
      </c>
      <c r="G98" s="46" t="s">
        <v>104</v>
      </c>
      <c r="H98" s="46" t="s">
        <v>105</v>
      </c>
      <c r="I98" s="46" t="s">
        <v>106</v>
      </c>
      <c r="J98" s="46" t="s">
        <v>107</v>
      </c>
      <c r="N98" s="46" t="s">
        <v>102</v>
      </c>
      <c r="O98" s="46" t="s">
        <v>103</v>
      </c>
      <c r="P98" s="46" t="s">
        <v>104</v>
      </c>
      <c r="Q98" s="46" t="s">
        <v>105</v>
      </c>
      <c r="R98" s="46" t="s">
        <v>106</v>
      </c>
      <c r="S98" s="46" t="s">
        <v>107</v>
      </c>
    </row>
    <row r="99" spans="4:20" x14ac:dyDescent="0.3">
      <c r="D99" t="s">
        <v>116</v>
      </c>
      <c r="E99">
        <v>9.2320261437908485E-4</v>
      </c>
      <c r="F99">
        <v>1.545036764705882E-3</v>
      </c>
      <c r="G99">
        <v>3.0961538461538464E-4</v>
      </c>
      <c r="H99">
        <v>8.921896517804446E-5</v>
      </c>
      <c r="I99">
        <v>1.809000708717222E-5</v>
      </c>
      <c r="J99">
        <v>4.0893665158371045E-3</v>
      </c>
      <c r="L99">
        <v>6.9745302518026729E-3</v>
      </c>
      <c r="M99" t="s">
        <v>116</v>
      </c>
      <c r="N99">
        <v>5.7244986251071433E-7</v>
      </c>
      <c r="O99">
        <v>1.7031649891690458E-5</v>
      </c>
      <c r="P99">
        <v>6.9327224499638289E-5</v>
      </c>
      <c r="Q99">
        <v>9.1895933680923534E-6</v>
      </c>
      <c r="R99">
        <v>1.0344624949087424E-5</v>
      </c>
      <c r="S99">
        <v>3.6626659344712078E-4</v>
      </c>
      <c r="T99">
        <v>4.7273213601814002E-4</v>
      </c>
    </row>
    <row r="100" spans="4:20" x14ac:dyDescent="0.3">
      <c r="D100" t="s">
        <v>117</v>
      </c>
      <c r="E100">
        <v>4.9836601307189543E-4</v>
      </c>
      <c r="F100">
        <v>8.515625E-4</v>
      </c>
      <c r="G100">
        <v>2.5174208144796383E-4</v>
      </c>
      <c r="H100">
        <v>5.1101711587645095E-5</v>
      </c>
      <c r="I100">
        <v>9.8068745570517359E-6</v>
      </c>
      <c r="J100">
        <v>1.7816742081447966E-3</v>
      </c>
      <c r="L100">
        <v>3.4442533888093532E-3</v>
      </c>
      <c r="M100" t="s">
        <v>117</v>
      </c>
      <c r="N100">
        <v>3.0902160719604933E-7</v>
      </c>
      <c r="O100">
        <v>9.3871645595783528E-6</v>
      </c>
      <c r="P100">
        <v>5.6368580709351495E-5</v>
      </c>
      <c r="Q100">
        <v>5.2634991783064801E-6</v>
      </c>
      <c r="R100">
        <v>5.607982281410273E-6</v>
      </c>
      <c r="S100">
        <v>1.5957673158484517E-4</v>
      </c>
      <c r="T100">
        <v>2.3651297992068784E-4</v>
      </c>
    </row>
    <row r="101" spans="4:20" x14ac:dyDescent="0.3">
      <c r="D101" t="s">
        <v>118</v>
      </c>
      <c r="E101">
        <v>1.3153594771241831E-3</v>
      </c>
      <c r="F101">
        <v>3.1484375000000002E-3</v>
      </c>
      <c r="G101">
        <v>5.3873303167420808E-4</v>
      </c>
      <c r="H101">
        <v>1.7302773952390324E-4</v>
      </c>
      <c r="I101">
        <v>4.7652374202693128E-5</v>
      </c>
      <c r="J101">
        <v>7.5339366515837104E-3</v>
      </c>
      <c r="L101">
        <v>1.2757146774108698E-2</v>
      </c>
      <c r="M101" t="s">
        <v>118</v>
      </c>
      <c r="N101">
        <v>8.1561440587809759E-7</v>
      </c>
      <c r="O101">
        <v>3.4706672637707119E-5</v>
      </c>
      <c r="P101">
        <v>1.2062987722216929E-4</v>
      </c>
      <c r="Q101">
        <v>1.7821934657634455E-5</v>
      </c>
      <c r="R101">
        <v>2.7249626641107368E-5</v>
      </c>
      <c r="S101">
        <v>6.7478160784448812E-4</v>
      </c>
      <c r="T101">
        <v>8.7600533340898446E-4</v>
      </c>
    </row>
    <row r="102" spans="4:20" x14ac:dyDescent="0.3">
      <c r="D102" t="s">
        <v>119</v>
      </c>
      <c r="E102">
        <v>6.3725490196078435E-4</v>
      </c>
      <c r="F102">
        <v>2.3975183823529409E-3</v>
      </c>
      <c r="G102">
        <v>4.3099547511312217E-4</v>
      </c>
      <c r="H102">
        <v>2.0534133385795791E-4</v>
      </c>
      <c r="I102">
        <v>1.4502126151665487E-5</v>
      </c>
      <c r="J102">
        <v>5.1414027149321263E-3</v>
      </c>
      <c r="L102">
        <v>8.8270149343685975E-3</v>
      </c>
      <c r="M102" t="s">
        <v>119</v>
      </c>
      <c r="N102">
        <v>3.9514238297199756E-7</v>
      </c>
      <c r="O102">
        <v>2.6428946307242451E-5</v>
      </c>
      <c r="P102">
        <v>9.6505928148930175E-5</v>
      </c>
      <c r="Q102">
        <v>2.115024934497551E-5</v>
      </c>
      <c r="R102">
        <v>8.2929241144251291E-6</v>
      </c>
      <c r="S102">
        <v>4.6049285400198172E-4</v>
      </c>
      <c r="T102">
        <v>6.1326604430052701E-4</v>
      </c>
    </row>
    <row r="105" spans="4:20" x14ac:dyDescent="0.3">
      <c r="E105" s="46" t="s">
        <v>102</v>
      </c>
      <c r="F105" s="46" t="s">
        <v>103</v>
      </c>
      <c r="G105" s="46" t="s">
        <v>104</v>
      </c>
      <c r="H105" s="46" t="s">
        <v>105</v>
      </c>
      <c r="I105" s="46" t="s">
        <v>106</v>
      </c>
      <c r="J105" s="46" t="s">
        <v>107</v>
      </c>
      <c r="N105" s="46" t="s">
        <v>102</v>
      </c>
      <c r="O105" s="46" t="s">
        <v>103</v>
      </c>
      <c r="P105" s="46" t="s">
        <v>104</v>
      </c>
      <c r="Q105" s="46" t="s">
        <v>105</v>
      </c>
      <c r="R105" s="46" t="s">
        <v>106</v>
      </c>
      <c r="S105" s="46" t="s">
        <v>107</v>
      </c>
    </row>
    <row r="106" spans="4:20" x14ac:dyDescent="0.3">
      <c r="D106" t="s">
        <v>116</v>
      </c>
      <c r="E106" s="11">
        <f>E99*100/L99</f>
        <v>13.23677123832776</v>
      </c>
      <c r="F106" s="11">
        <f>F99*100/L99</f>
        <v>22.152556644320871</v>
      </c>
      <c r="G106" s="11">
        <f>G99*100/L99</f>
        <v>4.4392292159799558</v>
      </c>
      <c r="H106" s="11">
        <f>H99*100/L99</f>
        <v>1.2792111003459259</v>
      </c>
      <c r="I106" s="11">
        <f>I99*100/L99</f>
        <v>0.25937240837827868</v>
      </c>
      <c r="J106" s="11">
        <f>J99*100/L99</f>
        <v>58.632859392647205</v>
      </c>
      <c r="K106" s="11"/>
      <c r="L106" s="11"/>
      <c r="M106" s="11" t="s">
        <v>116</v>
      </c>
      <c r="N106" s="11">
        <f>N99*100/T99</f>
        <v>0.12109391744181061</v>
      </c>
      <c r="O106" s="11">
        <f>O99*100/T99</f>
        <v>3.6028119507908611</v>
      </c>
      <c r="P106" s="11">
        <f>P99*100/T99</f>
        <v>14.665223541514854</v>
      </c>
      <c r="Q106" s="11">
        <f>Q99*100/T99</f>
        <v>1.9439324445968538</v>
      </c>
      <c r="R106" s="11">
        <f>R99*100/T99</f>
        <v>2.1882635346564365</v>
      </c>
      <c r="S106" s="11">
        <f>S99*100/T99</f>
        <v>77.478674610999178</v>
      </c>
    </row>
    <row r="107" spans="4:20" x14ac:dyDescent="0.3">
      <c r="D107" t="s">
        <v>117</v>
      </c>
      <c r="E107" s="11">
        <f t="shared" ref="E107:E109" si="15">E100*100/L100</f>
        <v>14.469493292541291</v>
      </c>
      <c r="F107" s="11">
        <f t="shared" ref="F107:F109" si="16">F100*100/L100</f>
        <v>24.724153651609743</v>
      </c>
      <c r="G107" s="11">
        <f t="shared" ref="G107:G109" si="17">G100*100/L100</f>
        <v>7.3090464907690418</v>
      </c>
      <c r="H107" s="11">
        <f t="shared" ref="H107:H109" si="18">H100*100/L100</f>
        <v>1.4836803747853897</v>
      </c>
      <c r="I107" s="11">
        <f t="shared" ref="I107:I109" si="19">I100*100/L100</f>
        <v>0.2847315063669541</v>
      </c>
      <c r="J107" s="11">
        <f t="shared" ref="J107:J109" si="20">J100*100/L100</f>
        <v>51.728894683927564</v>
      </c>
      <c r="K107" s="11"/>
      <c r="L107" s="11"/>
      <c r="M107" s="11" t="s">
        <v>117</v>
      </c>
      <c r="N107" s="11">
        <f t="shared" ref="N107:N109" si="21">N100*100/T100</f>
        <v>0.13065735643755219</v>
      </c>
      <c r="O107" s="11">
        <f t="shared" ref="O107:O109" si="22">O100*100/T100</f>
        <v>3.9689849422751515</v>
      </c>
      <c r="P107" s="11">
        <f t="shared" ref="P107:P109" si="23">P100*100/T100</f>
        <v>23.833186968535138</v>
      </c>
      <c r="Q107" s="11">
        <f t="shared" ref="Q107:Q109" si="24">Q100*100/T100</f>
        <v>2.2254589071904385</v>
      </c>
      <c r="R107" s="11">
        <f t="shared" ref="R107:R109" si="25">R100*100/T100</f>
        <v>2.3711097307601685</v>
      </c>
      <c r="S107" s="11">
        <f t="shared" ref="S107:S109" si="26">S100*100/T100</f>
        <v>67.470602094801549</v>
      </c>
    </row>
    <row r="108" spans="4:20" x14ac:dyDescent="0.3">
      <c r="D108" t="s">
        <v>118</v>
      </c>
      <c r="E108" s="11">
        <f t="shared" si="15"/>
        <v>10.310765411853492</v>
      </c>
      <c r="F108" s="11">
        <f t="shared" si="16"/>
        <v>24.679793654094507</v>
      </c>
      <c r="G108" s="11">
        <f t="shared" si="17"/>
        <v>4.2229899930883859</v>
      </c>
      <c r="H108" s="11">
        <f t="shared" si="18"/>
        <v>1.3563200501468884</v>
      </c>
      <c r="I108" s="11">
        <f t="shared" si="19"/>
        <v>0.37353473348292998</v>
      </c>
      <c r="J108" s="11">
        <f t="shared" si="20"/>
        <v>59.0565961573338</v>
      </c>
      <c r="K108" s="11"/>
      <c r="L108" s="11"/>
      <c r="M108" s="11" t="s">
        <v>118</v>
      </c>
      <c r="N108" s="11">
        <f t="shared" si="21"/>
        <v>9.3106100473626691E-2</v>
      </c>
      <c r="O108" s="11">
        <f t="shared" si="22"/>
        <v>3.9619248095951334</v>
      </c>
      <c r="P108" s="11">
        <f t="shared" si="23"/>
        <v>13.770450089925456</v>
      </c>
      <c r="Q108" s="11">
        <f t="shared" si="24"/>
        <v>2.0344550401628489</v>
      </c>
      <c r="R108" s="11">
        <f t="shared" si="25"/>
        <v>3.1106690338362606</v>
      </c>
      <c r="S108" s="11">
        <f t="shared" si="26"/>
        <v>77.029394926006674</v>
      </c>
    </row>
    <row r="109" spans="4:20" x14ac:dyDescent="0.3">
      <c r="D109" t="s">
        <v>119</v>
      </c>
      <c r="E109" s="11">
        <f t="shared" si="15"/>
        <v>7.2193703839741801</v>
      </c>
      <c r="F109" s="11">
        <f t="shared" si="16"/>
        <v>27.161145644129775</v>
      </c>
      <c r="G109" s="11">
        <f t="shared" si="17"/>
        <v>4.8826865969718849</v>
      </c>
      <c r="H109" s="11">
        <f t="shared" si="18"/>
        <v>2.3262828417616825</v>
      </c>
      <c r="I109" s="11">
        <f t="shared" si="19"/>
        <v>0.16429252991518628</v>
      </c>
      <c r="J109" s="11">
        <f t="shared" si="20"/>
        <v>58.24622200324729</v>
      </c>
      <c r="K109" s="11"/>
      <c r="L109" s="11"/>
      <c r="M109" s="11" t="s">
        <v>119</v>
      </c>
      <c r="N109" s="11">
        <f t="shared" si="21"/>
        <v>6.4432457437405527E-2</v>
      </c>
      <c r="O109" s="11">
        <f t="shared" si="22"/>
        <v>4.3095401339864692</v>
      </c>
      <c r="P109" s="11">
        <f t="shared" si="23"/>
        <v>15.736388643366348</v>
      </c>
      <c r="Q109" s="11">
        <f t="shared" si="24"/>
        <v>3.4487885871944624</v>
      </c>
      <c r="R109" s="11">
        <f t="shared" si="25"/>
        <v>1.3522555490388828</v>
      </c>
      <c r="S109" s="11">
        <f t="shared" si="26"/>
        <v>75.088594628976423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7A4A-A739-4F7D-AF06-5B5A70779403}">
  <dimension ref="B1:Z67"/>
  <sheetViews>
    <sheetView topLeftCell="A46" workbookViewId="0">
      <selection activeCell="G73" sqref="G73"/>
    </sheetView>
  </sheetViews>
  <sheetFormatPr defaultRowHeight="14.4" x14ac:dyDescent="0.3"/>
  <cols>
    <col min="14" max="15" width="12" bestFit="1" customWidth="1"/>
    <col min="20" max="20" width="12" bestFit="1" customWidth="1"/>
  </cols>
  <sheetData>
    <row r="1" spans="2:12" x14ac:dyDescent="0.3">
      <c r="B1" s="89" t="s">
        <v>162</v>
      </c>
    </row>
    <row r="2" spans="2:12" x14ac:dyDescent="0.3">
      <c r="B2" s="39"/>
      <c r="C2" s="39" t="s">
        <v>102</v>
      </c>
      <c r="D2" s="39" t="s">
        <v>103</v>
      </c>
      <c r="E2" s="39" t="s">
        <v>104</v>
      </c>
      <c r="F2" s="39" t="s">
        <v>105</v>
      </c>
      <c r="G2" s="39" t="s">
        <v>106</v>
      </c>
      <c r="H2" s="39" t="s">
        <v>107</v>
      </c>
      <c r="L2" s="64" t="s">
        <v>95</v>
      </c>
    </row>
    <row r="3" spans="2:12" x14ac:dyDescent="0.3">
      <c r="B3" s="39" t="s">
        <v>134</v>
      </c>
      <c r="C3" s="39">
        <v>1.47</v>
      </c>
      <c r="D3" s="39">
        <v>22.08</v>
      </c>
      <c r="E3" s="39">
        <v>126.62</v>
      </c>
      <c r="F3" s="39">
        <v>12.61</v>
      </c>
      <c r="G3" s="39">
        <v>29.19</v>
      </c>
      <c r="H3" s="39">
        <v>686</v>
      </c>
      <c r="K3" s="46" t="s">
        <v>5</v>
      </c>
      <c r="L3" s="34">
        <v>0.18</v>
      </c>
    </row>
    <row r="4" spans="2:12" x14ac:dyDescent="0.3">
      <c r="B4" s="39" t="s">
        <v>135</v>
      </c>
      <c r="C4" s="39">
        <v>0.88</v>
      </c>
      <c r="D4" s="39">
        <v>15.72</v>
      </c>
      <c r="E4" s="39">
        <v>123.56</v>
      </c>
      <c r="F4" s="39">
        <v>8.58</v>
      </c>
      <c r="G4" s="39">
        <v>11.54</v>
      </c>
      <c r="H4" s="39">
        <v>552</v>
      </c>
      <c r="K4" s="46" t="s">
        <v>6</v>
      </c>
      <c r="L4" s="34">
        <v>3.2</v>
      </c>
    </row>
    <row r="5" spans="2:12" x14ac:dyDescent="0.3">
      <c r="B5" s="39" t="s">
        <v>136</v>
      </c>
      <c r="C5" s="39">
        <v>1.19</v>
      </c>
      <c r="D5" s="39">
        <v>44.38</v>
      </c>
      <c r="E5" s="39">
        <v>142.51</v>
      </c>
      <c r="F5" s="39">
        <v>23.7</v>
      </c>
      <c r="G5" s="39">
        <v>21.15</v>
      </c>
      <c r="H5" s="39">
        <v>830</v>
      </c>
      <c r="K5" s="46" t="s">
        <v>7</v>
      </c>
      <c r="L5" s="34">
        <v>65</v>
      </c>
    </row>
    <row r="6" spans="2:12" x14ac:dyDescent="0.3">
      <c r="B6" s="39" t="s">
        <v>137</v>
      </c>
      <c r="C6" s="39">
        <v>1.1200000000000001</v>
      </c>
      <c r="D6" s="39">
        <v>53.2</v>
      </c>
      <c r="E6" s="39">
        <v>162.41</v>
      </c>
      <c r="F6" s="39">
        <v>27.6</v>
      </c>
      <c r="G6" s="39">
        <v>22.98</v>
      </c>
      <c r="H6" s="39">
        <v>842</v>
      </c>
      <c r="K6" s="46" t="s">
        <v>13</v>
      </c>
      <c r="L6" s="34">
        <v>29.9</v>
      </c>
    </row>
    <row r="7" spans="2:12" x14ac:dyDescent="0.3">
      <c r="B7" s="39" t="s">
        <v>138</v>
      </c>
      <c r="C7" s="39">
        <v>0.94</v>
      </c>
      <c r="D7" s="39">
        <v>42.06</v>
      </c>
      <c r="E7" s="39">
        <v>138.1</v>
      </c>
      <c r="F7" s="39">
        <v>22.97</v>
      </c>
      <c r="G7" s="39">
        <v>16.95</v>
      </c>
      <c r="H7" s="39">
        <v>753</v>
      </c>
      <c r="K7" s="46" t="s">
        <v>15</v>
      </c>
      <c r="L7" s="34">
        <v>166</v>
      </c>
    </row>
    <row r="8" spans="2:12" x14ac:dyDescent="0.3">
      <c r="B8" s="46" t="s">
        <v>160</v>
      </c>
      <c r="C8" s="39">
        <v>1.1299999999999999</v>
      </c>
      <c r="D8" s="39">
        <v>33.619999999999997</v>
      </c>
      <c r="E8" s="39">
        <v>136.85</v>
      </c>
      <c r="F8" s="39">
        <v>18.14</v>
      </c>
      <c r="G8" s="39">
        <v>20.420000000000002</v>
      </c>
      <c r="H8" s="39">
        <v>723</v>
      </c>
      <c r="K8" s="46" t="s">
        <v>16</v>
      </c>
      <c r="L8" s="34">
        <v>26</v>
      </c>
    </row>
    <row r="9" spans="2:12" x14ac:dyDescent="0.3">
      <c r="B9" s="39"/>
      <c r="C9" s="39"/>
      <c r="D9" s="39"/>
      <c r="E9" s="39"/>
      <c r="F9" s="39"/>
      <c r="G9" s="39"/>
      <c r="H9" s="39"/>
    </row>
    <row r="10" spans="2:12" x14ac:dyDescent="0.3">
      <c r="B10" s="39" t="s">
        <v>139</v>
      </c>
      <c r="C10" s="39">
        <v>0.62</v>
      </c>
      <c r="D10" s="39">
        <v>10.9</v>
      </c>
      <c r="E10" s="39">
        <v>119.77</v>
      </c>
      <c r="F10" s="39">
        <v>6.62</v>
      </c>
      <c r="G10" s="39">
        <v>9.9700000000000006</v>
      </c>
      <c r="H10" s="39">
        <v>315</v>
      </c>
    </row>
    <row r="11" spans="2:12" x14ac:dyDescent="0.3">
      <c r="B11" s="39" t="s">
        <v>140</v>
      </c>
      <c r="C11" s="39">
        <v>0.5</v>
      </c>
      <c r="D11" s="39">
        <v>10.81</v>
      </c>
      <c r="E11" s="39">
        <v>94.43</v>
      </c>
      <c r="F11" s="39">
        <v>5.29</v>
      </c>
      <c r="G11" s="39">
        <v>8.2799999999999994</v>
      </c>
      <c r="H11" s="39">
        <v>230</v>
      </c>
    </row>
    <row r="12" spans="2:12" x14ac:dyDescent="0.3">
      <c r="B12" s="39" t="s">
        <v>142</v>
      </c>
      <c r="C12" s="39">
        <v>0.64</v>
      </c>
      <c r="D12" s="39">
        <v>30.76</v>
      </c>
      <c r="E12" s="39">
        <v>118.62</v>
      </c>
      <c r="F12" s="39">
        <v>16.670000000000002</v>
      </c>
      <c r="G12" s="39">
        <v>15.07</v>
      </c>
      <c r="H12" s="39">
        <v>311</v>
      </c>
    </row>
    <row r="13" spans="2:12" x14ac:dyDescent="0.3">
      <c r="B13" s="39" t="s">
        <v>141</v>
      </c>
      <c r="C13" s="39">
        <v>0.56000000000000005</v>
      </c>
      <c r="D13" s="39">
        <v>19.28</v>
      </c>
      <c r="E13" s="39">
        <v>97.03</v>
      </c>
      <c r="F13" s="39">
        <v>11.64</v>
      </c>
      <c r="G13" s="39">
        <v>9.14</v>
      </c>
      <c r="H13" s="39">
        <v>281</v>
      </c>
    </row>
    <row r="14" spans="2:12" x14ac:dyDescent="0.3">
      <c r="B14" s="39" t="s">
        <v>143</v>
      </c>
      <c r="C14" s="39">
        <v>0.76</v>
      </c>
      <c r="D14" s="39">
        <v>22.46</v>
      </c>
      <c r="E14" s="39">
        <v>126.97</v>
      </c>
      <c r="F14" s="39">
        <v>13.05</v>
      </c>
      <c r="G14" s="39">
        <v>12.84</v>
      </c>
      <c r="H14" s="39">
        <v>480</v>
      </c>
    </row>
    <row r="15" spans="2:12" x14ac:dyDescent="0.3">
      <c r="B15" s="46" t="s">
        <v>160</v>
      </c>
      <c r="C15" s="39">
        <v>0.61</v>
      </c>
      <c r="D15" s="39">
        <v>18.53</v>
      </c>
      <c r="E15" s="39">
        <v>111.27</v>
      </c>
      <c r="F15" s="39">
        <v>10.39</v>
      </c>
      <c r="G15" s="39">
        <v>11.07</v>
      </c>
      <c r="H15" s="39">
        <v>315</v>
      </c>
    </row>
    <row r="16" spans="2:12" x14ac:dyDescent="0.3">
      <c r="B16" s="39"/>
      <c r="C16" s="39"/>
      <c r="D16" s="39"/>
      <c r="E16" s="39"/>
      <c r="F16" s="39"/>
      <c r="G16" s="39"/>
      <c r="H16" s="39"/>
    </row>
    <row r="17" spans="2:20" x14ac:dyDescent="0.3">
      <c r="B17" s="39" t="s">
        <v>144</v>
      </c>
      <c r="C17" s="39">
        <v>1.59</v>
      </c>
      <c r="D17" s="39">
        <v>45.92</v>
      </c>
      <c r="E17" s="39">
        <v>223.87</v>
      </c>
      <c r="F17" s="39">
        <v>22.05</v>
      </c>
      <c r="G17" s="39">
        <v>53.91</v>
      </c>
      <c r="H17" s="39">
        <v>1313</v>
      </c>
    </row>
    <row r="18" spans="2:20" x14ac:dyDescent="0.3">
      <c r="B18" s="39" t="s">
        <v>145</v>
      </c>
      <c r="C18" s="39">
        <v>1.5</v>
      </c>
      <c r="D18" s="39">
        <v>56.47</v>
      </c>
      <c r="E18" s="39">
        <v>221.1</v>
      </c>
      <c r="F18" s="39">
        <v>27.96</v>
      </c>
      <c r="G18" s="39">
        <v>40.35</v>
      </c>
      <c r="H18" s="39">
        <v>1102</v>
      </c>
    </row>
    <row r="19" spans="2:20" x14ac:dyDescent="0.3">
      <c r="B19" s="39" t="s">
        <v>146</v>
      </c>
      <c r="C19" s="39">
        <v>1.75</v>
      </c>
      <c r="D19" s="39">
        <v>81.08</v>
      </c>
      <c r="E19" s="39">
        <v>252.15</v>
      </c>
      <c r="F19" s="39">
        <v>46.08</v>
      </c>
      <c r="G19" s="39">
        <v>37.83</v>
      </c>
      <c r="H19" s="39">
        <v>1198</v>
      </c>
    </row>
    <row r="20" spans="2:20" x14ac:dyDescent="0.3">
      <c r="B20" s="39" t="s">
        <v>147</v>
      </c>
      <c r="C20" s="39">
        <v>1.64</v>
      </c>
      <c r="D20" s="39">
        <v>90.05</v>
      </c>
      <c r="E20" s="39">
        <v>244.07</v>
      </c>
      <c r="F20" s="39">
        <v>44.7</v>
      </c>
      <c r="G20" s="39">
        <v>38.700000000000003</v>
      </c>
      <c r="H20" s="39">
        <v>1053</v>
      </c>
    </row>
    <row r="21" spans="2:20" x14ac:dyDescent="0.3">
      <c r="B21" s="39" t="s">
        <v>148</v>
      </c>
      <c r="C21" s="39">
        <v>1.56</v>
      </c>
      <c r="D21" s="39">
        <v>80.040000000000006</v>
      </c>
      <c r="E21" s="39">
        <v>258.01</v>
      </c>
      <c r="F21" s="39">
        <v>39.86</v>
      </c>
      <c r="G21" s="39">
        <v>112.83</v>
      </c>
      <c r="H21" s="39">
        <v>2188</v>
      </c>
    </row>
    <row r="22" spans="2:20" x14ac:dyDescent="0.3">
      <c r="B22" s="46" t="s">
        <v>160</v>
      </c>
      <c r="C22" s="39">
        <v>1.61</v>
      </c>
      <c r="D22" s="39">
        <v>68.510000000000005</v>
      </c>
      <c r="E22" s="39">
        <v>238.12</v>
      </c>
      <c r="F22" s="39">
        <v>35.18</v>
      </c>
      <c r="G22" s="39">
        <v>53.79</v>
      </c>
      <c r="H22" s="39">
        <v>1332</v>
      </c>
    </row>
    <row r="23" spans="2:20" x14ac:dyDescent="0.3">
      <c r="B23" s="39"/>
      <c r="C23" s="39"/>
      <c r="D23" s="39"/>
      <c r="E23" s="39"/>
      <c r="F23" s="39"/>
      <c r="G23" s="39"/>
      <c r="H23" s="39"/>
    </row>
    <row r="24" spans="2:20" x14ac:dyDescent="0.3">
      <c r="B24" s="39" t="s">
        <v>149</v>
      </c>
      <c r="C24" s="39">
        <v>0.77</v>
      </c>
      <c r="D24" s="39">
        <v>53.78</v>
      </c>
      <c r="E24" s="39">
        <v>181.32</v>
      </c>
      <c r="F24" s="39">
        <v>50.15</v>
      </c>
      <c r="G24" s="39">
        <v>22.48</v>
      </c>
      <c r="H24" s="39">
        <v>918</v>
      </c>
    </row>
    <row r="25" spans="2:20" x14ac:dyDescent="0.3">
      <c r="B25" s="39" t="s">
        <v>150</v>
      </c>
      <c r="C25" s="39">
        <v>0.66</v>
      </c>
      <c r="D25" s="39">
        <v>34.090000000000003</v>
      </c>
      <c r="E25" s="39">
        <v>175.73</v>
      </c>
      <c r="F25" s="39">
        <v>32.33</v>
      </c>
      <c r="G25" s="39">
        <v>14.11</v>
      </c>
      <c r="H25" s="39">
        <v>742</v>
      </c>
    </row>
    <row r="26" spans="2:20" x14ac:dyDescent="0.3">
      <c r="B26" s="39" t="s">
        <v>151</v>
      </c>
      <c r="C26" s="39">
        <v>0.78</v>
      </c>
      <c r="D26" s="39">
        <v>61.02</v>
      </c>
      <c r="E26" s="39">
        <v>185.93</v>
      </c>
      <c r="F26" s="39">
        <v>43.4</v>
      </c>
      <c r="G26" s="39">
        <v>14.25</v>
      </c>
      <c r="H26" s="39">
        <v>893</v>
      </c>
    </row>
    <row r="27" spans="2:20" x14ac:dyDescent="0.3">
      <c r="B27" s="39" t="s">
        <v>152</v>
      </c>
      <c r="C27" s="39">
        <v>0.87</v>
      </c>
      <c r="D27" s="39">
        <v>51.45</v>
      </c>
      <c r="E27" s="39">
        <v>216.84</v>
      </c>
      <c r="F27" s="39">
        <v>39.1</v>
      </c>
      <c r="G27" s="39">
        <v>15.64</v>
      </c>
      <c r="H27" s="39">
        <v>1002</v>
      </c>
    </row>
    <row r="28" spans="2:20" x14ac:dyDescent="0.3">
      <c r="B28" s="39" t="s">
        <v>153</v>
      </c>
      <c r="C28" s="39">
        <v>0.88</v>
      </c>
      <c r="D28" s="39">
        <v>64.290000000000006</v>
      </c>
      <c r="E28" s="39">
        <v>206.92</v>
      </c>
      <c r="F28" s="39">
        <v>43.44</v>
      </c>
      <c r="G28" s="39">
        <v>14.49</v>
      </c>
      <c r="H28" s="39">
        <v>1077</v>
      </c>
    </row>
    <row r="29" spans="2:20" x14ac:dyDescent="0.3">
      <c r="B29" s="46" t="s">
        <v>160</v>
      </c>
      <c r="C29" s="39">
        <v>0.78</v>
      </c>
      <c r="D29" s="39">
        <v>52.17</v>
      </c>
      <c r="E29" s="39">
        <v>190.5</v>
      </c>
      <c r="F29" s="39">
        <v>41.75</v>
      </c>
      <c r="G29" s="39">
        <v>16.37</v>
      </c>
      <c r="H29" s="39">
        <v>909</v>
      </c>
    </row>
    <row r="32" spans="2:20" x14ac:dyDescent="0.3">
      <c r="B32" t="s">
        <v>163</v>
      </c>
      <c r="J32" s="1" t="s">
        <v>131</v>
      </c>
      <c r="K32" s="1"/>
      <c r="L32" s="1"/>
      <c r="M32" s="1"/>
      <c r="N32" s="1"/>
      <c r="O32" s="1"/>
      <c r="P32" s="1"/>
      <c r="T32" s="1" t="s">
        <v>115</v>
      </c>
    </row>
    <row r="33" spans="2:26" x14ac:dyDescent="0.3">
      <c r="B33" s="39"/>
      <c r="C33" s="39" t="s">
        <v>102</v>
      </c>
      <c r="D33" s="39" t="s">
        <v>103</v>
      </c>
      <c r="E33" s="39" t="s">
        <v>104</v>
      </c>
      <c r="F33" s="39" t="s">
        <v>105</v>
      </c>
      <c r="G33" s="39" t="s">
        <v>106</v>
      </c>
      <c r="H33" s="39" t="s">
        <v>107</v>
      </c>
      <c r="J33" s="46"/>
      <c r="K33" s="46" t="s">
        <v>102</v>
      </c>
      <c r="L33" s="46" t="s">
        <v>103</v>
      </c>
      <c r="M33" s="46" t="s">
        <v>104</v>
      </c>
      <c r="N33" s="46" t="s">
        <v>105</v>
      </c>
      <c r="O33" s="46" t="s">
        <v>106</v>
      </c>
      <c r="P33" s="46" t="s">
        <v>107</v>
      </c>
      <c r="Q33" s="76"/>
      <c r="R33" s="76" t="s">
        <v>125</v>
      </c>
      <c r="T33" s="46" t="s">
        <v>102</v>
      </c>
      <c r="U33" s="46" t="s">
        <v>103</v>
      </c>
      <c r="V33" s="46" t="s">
        <v>104</v>
      </c>
      <c r="W33" s="46" t="s">
        <v>105</v>
      </c>
      <c r="X33" s="46" t="s">
        <v>106</v>
      </c>
      <c r="Y33" s="46" t="s">
        <v>107</v>
      </c>
      <c r="Z33" s="76" t="s">
        <v>164</v>
      </c>
    </row>
    <row r="34" spans="2:26" x14ac:dyDescent="0.3">
      <c r="B34" s="39" t="s">
        <v>134</v>
      </c>
      <c r="C34" s="78">
        <f>(C3*0.5)/3400</f>
        <v>2.1617647058823529E-4</v>
      </c>
      <c r="D34" s="78">
        <f t="shared" ref="D34:H34" si="0">(D3*0.5)/3400</f>
        <v>3.2470588235294115E-3</v>
      </c>
      <c r="E34" s="78">
        <f t="shared" si="0"/>
        <v>1.8620588235294118E-2</v>
      </c>
      <c r="F34" s="78">
        <f t="shared" si="0"/>
        <v>1.8544117647058822E-3</v>
      </c>
      <c r="G34" s="78">
        <f t="shared" si="0"/>
        <v>4.2926470588235295E-3</v>
      </c>
      <c r="H34" s="78">
        <f t="shared" si="0"/>
        <v>0.10088235294117646</v>
      </c>
      <c r="J34" s="39" t="s">
        <v>134</v>
      </c>
      <c r="K34" s="78">
        <f>C34/0.18</f>
        <v>1.2009803921568627E-3</v>
      </c>
      <c r="L34" s="78">
        <f>D34/3.2</f>
        <v>1.014705882352941E-3</v>
      </c>
      <c r="M34" s="78">
        <f>E34/65</f>
        <v>2.8647058823529412E-4</v>
      </c>
      <c r="N34" s="78">
        <f>F34/29.9</f>
        <v>6.2020460358056261E-5</v>
      </c>
      <c r="O34" s="78">
        <f>G34/166</f>
        <v>2.5859319631467047E-5</v>
      </c>
      <c r="P34" s="78">
        <f>H34/26</f>
        <v>3.8800904977375561E-3</v>
      </c>
      <c r="R34" s="91">
        <f>SUM(K34:P34)</f>
        <v>6.4701271404721773E-3</v>
      </c>
      <c r="T34" s="78">
        <f>C34/290.29</f>
        <v>7.446914140626108E-7</v>
      </c>
      <c r="U34" s="78">
        <f t="shared" ref="U34:Y49" si="1">D34/290.29</f>
        <v>1.1185568994899622E-5</v>
      </c>
      <c r="V34" s="78">
        <f t="shared" si="1"/>
        <v>6.4144780169120931E-5</v>
      </c>
      <c r="W34" s="78">
        <f t="shared" si="1"/>
        <v>6.3881351913806263E-6</v>
      </c>
      <c r="X34" s="78">
        <f t="shared" si="1"/>
        <v>1.4787443793528986E-5</v>
      </c>
      <c r="Y34" s="78">
        <f t="shared" si="1"/>
        <v>3.4752265989588502E-4</v>
      </c>
      <c r="Z34" s="91">
        <f>SUM(T34:Y34)</f>
        <v>4.4477327945887778E-4</v>
      </c>
    </row>
    <row r="35" spans="2:26" x14ac:dyDescent="0.3">
      <c r="B35" s="39" t="s">
        <v>135</v>
      </c>
      <c r="C35" s="78">
        <f t="shared" ref="C35:H60" si="2">(C4*0.5)/3400</f>
        <v>1.2941176470588234E-4</v>
      </c>
      <c r="D35" s="78">
        <f t="shared" si="2"/>
        <v>2.311764705882353E-3</v>
      </c>
      <c r="E35" s="78">
        <f t="shared" si="2"/>
        <v>1.8170588235294119E-2</v>
      </c>
      <c r="F35" s="78">
        <f t="shared" si="2"/>
        <v>1.2617647058823529E-3</v>
      </c>
      <c r="G35" s="78">
        <f t="shared" si="2"/>
        <v>1.6970588235294115E-3</v>
      </c>
      <c r="H35" s="78">
        <f t="shared" si="2"/>
        <v>8.1176470588235294E-2</v>
      </c>
      <c r="J35" s="39" t="s">
        <v>135</v>
      </c>
      <c r="K35" s="78">
        <f t="shared" ref="K35:K60" si="3">C35/0.18</f>
        <v>7.1895424836601303E-4</v>
      </c>
      <c r="L35" s="78">
        <f t="shared" ref="L35:L60" si="4">D35/3.2</f>
        <v>7.2242647058823523E-4</v>
      </c>
      <c r="M35" s="78">
        <f t="shared" ref="M35:M60" si="5">E35/65</f>
        <v>2.7954751131221723E-4</v>
      </c>
      <c r="N35" s="78">
        <f t="shared" ref="N35:N60" si="6">F35/29.9</f>
        <v>4.219948849104859E-5</v>
      </c>
      <c r="O35" s="78">
        <f t="shared" ref="O35:O60" si="7">G35/166</f>
        <v>1.0223245924875973E-5</v>
      </c>
      <c r="P35" s="78">
        <f t="shared" ref="P35:P60" si="8">H35/26</f>
        <v>3.1221719457013575E-3</v>
      </c>
      <c r="R35" s="91">
        <f t="shared" ref="R35:R60" si="9">SUM(K35:P35)</f>
        <v>4.8955229103837469E-3</v>
      </c>
      <c r="T35" s="78">
        <f t="shared" ref="T35:Y60" si="10">C35/290.29</f>
        <v>4.4580166284020234E-7</v>
      </c>
      <c r="U35" s="78">
        <f t="shared" si="1"/>
        <v>7.9636387952817974E-6</v>
      </c>
      <c r="V35" s="78">
        <f t="shared" si="1"/>
        <v>6.2594606205153869E-5</v>
      </c>
      <c r="W35" s="78">
        <f t="shared" si="1"/>
        <v>4.3465662126919724E-6</v>
      </c>
      <c r="X35" s="78">
        <f t="shared" si="1"/>
        <v>5.8460808967908348E-6</v>
      </c>
      <c r="Y35" s="78">
        <f t="shared" si="1"/>
        <v>2.7963922487249057E-4</v>
      </c>
      <c r="Z35" s="91">
        <f t="shared" ref="Z35:Z60" si="11">SUM(T35:Y35)</f>
        <v>3.6083591864524922E-4</v>
      </c>
    </row>
    <row r="36" spans="2:26" x14ac:dyDescent="0.3">
      <c r="B36" s="39" t="s">
        <v>136</v>
      </c>
      <c r="C36" s="78">
        <f t="shared" si="2"/>
        <v>1.75E-4</v>
      </c>
      <c r="D36" s="78">
        <f t="shared" si="2"/>
        <v>6.5264705882352942E-3</v>
      </c>
      <c r="E36" s="78">
        <f t="shared" si="2"/>
        <v>2.0957352941176469E-2</v>
      </c>
      <c r="F36" s="78">
        <f t="shared" si="2"/>
        <v>3.4852941176470587E-3</v>
      </c>
      <c r="G36" s="78">
        <f t="shared" si="2"/>
        <v>3.1102941176470588E-3</v>
      </c>
      <c r="H36" s="78">
        <f t="shared" si="2"/>
        <v>0.12205882352941176</v>
      </c>
      <c r="J36" s="39" t="s">
        <v>136</v>
      </c>
      <c r="K36" s="78">
        <f t="shared" si="3"/>
        <v>9.7222222222222219E-4</v>
      </c>
      <c r="L36" s="78">
        <f t="shared" si="4"/>
        <v>2.0395220588235292E-3</v>
      </c>
      <c r="M36" s="78">
        <f t="shared" si="5"/>
        <v>3.22420814479638E-4</v>
      </c>
      <c r="N36" s="78">
        <f t="shared" si="6"/>
        <v>1.1656502065709227E-4</v>
      </c>
      <c r="O36" s="78">
        <f t="shared" si="7"/>
        <v>1.8736711552090715E-5</v>
      </c>
      <c r="P36" s="78">
        <f t="shared" si="8"/>
        <v>4.6945701357466061E-3</v>
      </c>
      <c r="R36" s="91">
        <f t="shared" si="9"/>
        <v>8.164036963481178E-3</v>
      </c>
      <c r="T36" s="78">
        <f t="shared" si="10"/>
        <v>6.0284543043163732E-7</v>
      </c>
      <c r="U36" s="78">
        <f t="shared" si="1"/>
        <v>2.2482588405509296E-5</v>
      </c>
      <c r="V36" s="78">
        <f t="shared" si="1"/>
        <v>7.2194539740178679E-5</v>
      </c>
      <c r="W36" s="78">
        <f t="shared" si="1"/>
        <v>1.200624932876454E-5</v>
      </c>
      <c r="X36" s="78">
        <f t="shared" si="1"/>
        <v>1.0714437692125319E-5</v>
      </c>
      <c r="Y36" s="78">
        <f t="shared" si="1"/>
        <v>4.2047202290609995E-4</v>
      </c>
      <c r="Z36" s="91">
        <f t="shared" si="11"/>
        <v>5.3847268350310938E-4</v>
      </c>
    </row>
    <row r="37" spans="2:26" x14ac:dyDescent="0.3">
      <c r="B37" s="39" t="s">
        <v>137</v>
      </c>
      <c r="C37" s="78">
        <f t="shared" si="2"/>
        <v>1.6470588235294119E-4</v>
      </c>
      <c r="D37" s="78">
        <f t="shared" si="2"/>
        <v>7.8235294117647066E-3</v>
      </c>
      <c r="E37" s="78">
        <f t="shared" si="2"/>
        <v>2.3883823529411763E-2</v>
      </c>
      <c r="F37" s="78">
        <f t="shared" si="2"/>
        <v>4.0588235294117649E-3</v>
      </c>
      <c r="G37" s="78">
        <f t="shared" si="2"/>
        <v>3.3794117647058825E-3</v>
      </c>
      <c r="H37" s="78">
        <f t="shared" si="2"/>
        <v>0.12382352941176471</v>
      </c>
      <c r="J37" s="39" t="s">
        <v>137</v>
      </c>
      <c r="K37" s="78">
        <f t="shared" si="3"/>
        <v>9.1503267973856218E-4</v>
      </c>
      <c r="L37" s="78">
        <f t="shared" si="4"/>
        <v>2.4448529411764705E-3</v>
      </c>
      <c r="M37" s="78">
        <f t="shared" si="5"/>
        <v>3.674434389140271E-4</v>
      </c>
      <c r="N37" s="78">
        <f t="shared" si="6"/>
        <v>1.3574660633484164E-4</v>
      </c>
      <c r="O37" s="78">
        <f t="shared" si="7"/>
        <v>2.035790219702339E-5</v>
      </c>
      <c r="P37" s="78">
        <f t="shared" si="8"/>
        <v>4.7624434389140274E-3</v>
      </c>
      <c r="R37" s="91">
        <f t="shared" si="9"/>
        <v>8.6458770072749512E-3</v>
      </c>
      <c r="T37" s="78">
        <f t="shared" si="10"/>
        <v>5.6738393452389392E-7</v>
      </c>
      <c r="U37" s="78">
        <f t="shared" si="1"/>
        <v>2.6950736889884962E-5</v>
      </c>
      <c r="V37" s="78">
        <f t="shared" si="1"/>
        <v>8.2275736433951426E-5</v>
      </c>
      <c r="W37" s="78">
        <f t="shared" si="1"/>
        <v>1.3981961243624529E-5</v>
      </c>
      <c r="X37" s="78">
        <f t="shared" si="1"/>
        <v>1.1641502513713467E-5</v>
      </c>
      <c r="Y37" s="78">
        <f t="shared" si="1"/>
        <v>4.2655113649028452E-4</v>
      </c>
      <c r="Z37" s="91">
        <f t="shared" si="11"/>
        <v>5.6196845750598279E-4</v>
      </c>
    </row>
    <row r="38" spans="2:26" x14ac:dyDescent="0.3">
      <c r="B38" s="39" t="s">
        <v>138</v>
      </c>
      <c r="C38" s="78">
        <f t="shared" si="2"/>
        <v>1.3823529411764705E-4</v>
      </c>
      <c r="D38" s="78">
        <f t="shared" si="2"/>
        <v>6.1852941176470588E-3</v>
      </c>
      <c r="E38" s="78">
        <f t="shared" si="2"/>
        <v>2.0308823529411765E-2</v>
      </c>
      <c r="F38" s="78">
        <f t="shared" si="2"/>
        <v>3.3779411764705879E-3</v>
      </c>
      <c r="G38" s="78">
        <f t="shared" si="2"/>
        <v>2.4926470588235291E-3</v>
      </c>
      <c r="H38" s="78">
        <f t="shared" si="2"/>
        <v>0.11073529411764706</v>
      </c>
      <c r="J38" s="39" t="s">
        <v>138</v>
      </c>
      <c r="K38" s="78">
        <f t="shared" si="3"/>
        <v>7.6797385620915027E-4</v>
      </c>
      <c r="L38" s="78">
        <f t="shared" si="4"/>
        <v>1.9329044117647057E-3</v>
      </c>
      <c r="M38" s="78">
        <f t="shared" si="5"/>
        <v>3.1244343891402717E-4</v>
      </c>
      <c r="N38" s="78">
        <f t="shared" si="6"/>
        <v>1.1297462128664174E-4</v>
      </c>
      <c r="O38" s="78">
        <f t="shared" si="7"/>
        <v>1.5015946137491139E-5</v>
      </c>
      <c r="P38" s="78">
        <f t="shared" si="8"/>
        <v>4.2590497737556559E-3</v>
      </c>
      <c r="R38" s="91">
        <f t="shared" si="9"/>
        <v>7.400362048067672E-3</v>
      </c>
      <c r="T38" s="78">
        <f t="shared" si="10"/>
        <v>4.7619723076112522E-7</v>
      </c>
      <c r="U38" s="78">
        <f t="shared" si="1"/>
        <v>2.1307293112566944E-5</v>
      </c>
      <c r="V38" s="78">
        <f t="shared" si="1"/>
        <v>6.9960465497990849E-5</v>
      </c>
      <c r="W38" s="78">
        <f t="shared" si="1"/>
        <v>1.1636436585726645E-5</v>
      </c>
      <c r="X38" s="78">
        <f t="shared" si="1"/>
        <v>8.5867479376607145E-6</v>
      </c>
      <c r="Y38" s="78">
        <f t="shared" si="1"/>
        <v>3.8146437740758222E-4</v>
      </c>
      <c r="Z38" s="91">
        <f t="shared" si="11"/>
        <v>4.9343151777228849E-4</v>
      </c>
    </row>
    <row r="39" spans="2:26" x14ac:dyDescent="0.3">
      <c r="B39" s="46" t="s">
        <v>160</v>
      </c>
      <c r="C39" s="78">
        <f t="shared" si="2"/>
        <v>1.6617647058823527E-4</v>
      </c>
      <c r="D39" s="78">
        <f t="shared" si="2"/>
        <v>4.9441176470588228E-3</v>
      </c>
      <c r="E39" s="78">
        <f t="shared" si="2"/>
        <v>2.0125000000000001E-2</v>
      </c>
      <c r="F39" s="78">
        <f t="shared" si="2"/>
        <v>2.6676470588235294E-3</v>
      </c>
      <c r="G39" s="78">
        <f t="shared" si="2"/>
        <v>3.0029411764705884E-3</v>
      </c>
      <c r="H39" s="78">
        <f t="shared" si="2"/>
        <v>0.10632352941176471</v>
      </c>
      <c r="J39" s="46" t="s">
        <v>160</v>
      </c>
      <c r="K39" s="78">
        <f t="shared" si="3"/>
        <v>9.2320261437908485E-4</v>
      </c>
      <c r="L39" s="78">
        <f t="shared" si="4"/>
        <v>1.545036764705882E-3</v>
      </c>
      <c r="M39" s="78">
        <f t="shared" si="5"/>
        <v>3.0961538461538464E-4</v>
      </c>
      <c r="N39" s="78">
        <f t="shared" si="6"/>
        <v>8.921896517804446E-5</v>
      </c>
      <c r="O39" s="78">
        <f t="shared" si="7"/>
        <v>1.809000708717222E-5</v>
      </c>
      <c r="P39" s="78">
        <f t="shared" si="8"/>
        <v>4.0893665158371045E-3</v>
      </c>
      <c r="R39" s="91">
        <f t="shared" si="9"/>
        <v>6.9745302518026729E-3</v>
      </c>
      <c r="T39" s="78">
        <f t="shared" si="10"/>
        <v>5.7244986251071433E-7</v>
      </c>
      <c r="U39" s="78">
        <f t="shared" si="1"/>
        <v>1.7031649891690458E-5</v>
      </c>
      <c r="V39" s="78">
        <f t="shared" si="1"/>
        <v>6.9327224499638289E-5</v>
      </c>
      <c r="W39" s="78">
        <f t="shared" si="1"/>
        <v>9.1895933680923534E-6</v>
      </c>
      <c r="X39" s="78">
        <f t="shared" si="1"/>
        <v>1.0344624949087424E-5</v>
      </c>
      <c r="Y39" s="78">
        <f t="shared" si="1"/>
        <v>3.6626659344712078E-4</v>
      </c>
      <c r="Z39" s="91">
        <f t="shared" si="11"/>
        <v>4.7273213601814002E-4</v>
      </c>
    </row>
    <row r="40" spans="2:26" x14ac:dyDescent="0.3">
      <c r="B40" s="39"/>
      <c r="C40" s="78">
        <f t="shared" si="2"/>
        <v>0</v>
      </c>
      <c r="D40" s="78">
        <f t="shared" si="2"/>
        <v>0</v>
      </c>
      <c r="E40" s="78">
        <f t="shared" si="2"/>
        <v>0</v>
      </c>
      <c r="F40" s="78">
        <f t="shared" si="2"/>
        <v>0</v>
      </c>
      <c r="G40" s="78">
        <f t="shared" si="2"/>
        <v>0</v>
      </c>
      <c r="H40" s="78">
        <f t="shared" si="2"/>
        <v>0</v>
      </c>
      <c r="J40" s="39"/>
      <c r="K40" s="78"/>
      <c r="L40" s="78"/>
      <c r="M40" s="78"/>
      <c r="N40" s="78"/>
      <c r="O40" s="78"/>
      <c r="P40" s="78"/>
      <c r="R40" s="91"/>
      <c r="T40" s="78"/>
      <c r="U40" s="78"/>
      <c r="V40" s="78"/>
      <c r="W40" s="78"/>
      <c r="X40" s="78"/>
      <c r="Y40" s="78"/>
      <c r="Z40" s="91"/>
    </row>
    <row r="41" spans="2:26" x14ac:dyDescent="0.3">
      <c r="B41" s="39" t="s">
        <v>139</v>
      </c>
      <c r="C41" s="78">
        <f t="shared" si="2"/>
        <v>9.11764705882353E-5</v>
      </c>
      <c r="D41" s="78">
        <f t="shared" si="2"/>
        <v>1.6029411764705882E-3</v>
      </c>
      <c r="E41" s="78">
        <f t="shared" si="2"/>
        <v>1.7613235294117645E-2</v>
      </c>
      <c r="F41" s="78">
        <f t="shared" si="2"/>
        <v>9.7352941176470588E-4</v>
      </c>
      <c r="G41" s="78">
        <f t="shared" si="2"/>
        <v>1.4661764705882353E-3</v>
      </c>
      <c r="H41" s="78">
        <f t="shared" si="2"/>
        <v>4.6323529411764708E-2</v>
      </c>
      <c r="J41" s="39" t="s">
        <v>139</v>
      </c>
      <c r="K41" s="78">
        <f t="shared" si="3"/>
        <v>5.0653594771241832E-4</v>
      </c>
      <c r="L41" s="78">
        <f t="shared" si="4"/>
        <v>5.0091911764705882E-4</v>
      </c>
      <c r="M41" s="78">
        <f t="shared" si="5"/>
        <v>2.7097285067873299E-4</v>
      </c>
      <c r="N41" s="78">
        <f t="shared" si="6"/>
        <v>3.2559512099154041E-5</v>
      </c>
      <c r="O41" s="78">
        <f t="shared" si="7"/>
        <v>8.8323883770375625E-6</v>
      </c>
      <c r="P41" s="78">
        <f t="shared" si="8"/>
        <v>1.7816742081447966E-3</v>
      </c>
      <c r="R41" s="91">
        <f t="shared" si="9"/>
        <v>3.1014940246591981E-3</v>
      </c>
      <c r="T41" s="78">
        <f t="shared" si="10"/>
        <v>3.1408753518286984E-7</v>
      </c>
      <c r="U41" s="78">
        <f t="shared" si="1"/>
        <v>5.5218615056343244E-6</v>
      </c>
      <c r="V41" s="78">
        <f t="shared" si="1"/>
        <v>6.0674619498148901E-5</v>
      </c>
      <c r="W41" s="78">
        <f t="shared" si="1"/>
        <v>3.3536443272751586E-6</v>
      </c>
      <c r="X41" s="78">
        <f t="shared" si="1"/>
        <v>5.0507302028600195E-6</v>
      </c>
      <c r="Y41" s="78">
        <f t="shared" si="1"/>
        <v>1.5957673158484517E-4</v>
      </c>
      <c r="Z41" s="91">
        <f t="shared" si="11"/>
        <v>2.3449167465394645E-4</v>
      </c>
    </row>
    <row r="42" spans="2:26" x14ac:dyDescent="0.3">
      <c r="B42" s="39" t="s">
        <v>140</v>
      </c>
      <c r="C42" s="78">
        <f t="shared" si="2"/>
        <v>7.3529411764705876E-5</v>
      </c>
      <c r="D42" s="78">
        <f t="shared" si="2"/>
        <v>1.5897058823529412E-3</v>
      </c>
      <c r="E42" s="78">
        <f t="shared" si="2"/>
        <v>1.3886764705882354E-2</v>
      </c>
      <c r="F42" s="78">
        <f t="shared" si="2"/>
        <v>7.7794117647058823E-4</v>
      </c>
      <c r="G42" s="78">
        <f t="shared" si="2"/>
        <v>1.2176470588235293E-3</v>
      </c>
      <c r="H42" s="78">
        <f t="shared" si="2"/>
        <v>3.3823529411764704E-2</v>
      </c>
      <c r="J42" s="39" t="s">
        <v>140</v>
      </c>
      <c r="K42" s="93">
        <f t="shared" si="3"/>
        <v>4.0849673202614375E-4</v>
      </c>
      <c r="L42" s="93">
        <f t="shared" si="4"/>
        <v>4.9678308823529406E-4</v>
      </c>
      <c r="M42" s="93">
        <f t="shared" si="5"/>
        <v>2.1364253393665159E-4</v>
      </c>
      <c r="N42" s="93">
        <f t="shared" si="6"/>
        <v>2.6018099547511314E-5</v>
      </c>
      <c r="O42" s="93">
        <f t="shared" si="7"/>
        <v>7.3352232459248753E-6</v>
      </c>
      <c r="P42" s="93">
        <f t="shared" si="8"/>
        <v>1.3009049773755655E-3</v>
      </c>
      <c r="R42" s="91">
        <f t="shared" si="9"/>
        <v>2.453180654367091E-3</v>
      </c>
      <c r="T42" s="78">
        <f t="shared" si="10"/>
        <v>2.5329639934102403E-7</v>
      </c>
      <c r="U42" s="78">
        <f t="shared" si="1"/>
        <v>5.4762681537529407E-6</v>
      </c>
      <c r="V42" s="78">
        <f t="shared" si="1"/>
        <v>4.783755797954581E-5</v>
      </c>
      <c r="W42" s="78">
        <f t="shared" si="1"/>
        <v>2.6798759050280348E-6</v>
      </c>
      <c r="X42" s="78">
        <f t="shared" si="1"/>
        <v>4.1945883730873584E-6</v>
      </c>
      <c r="Y42" s="78">
        <f t="shared" si="1"/>
        <v>1.1651634369687106E-4</v>
      </c>
      <c r="Z42" s="91">
        <f t="shared" si="11"/>
        <v>1.7695793050762624E-4</v>
      </c>
    </row>
    <row r="43" spans="2:26" x14ac:dyDescent="0.3">
      <c r="B43" s="39" t="s">
        <v>142</v>
      </c>
      <c r="C43" s="78">
        <f t="shared" si="2"/>
        <v>9.4117647058823535E-5</v>
      </c>
      <c r="D43" s="78">
        <f t="shared" si="2"/>
        <v>4.5235294117647058E-3</v>
      </c>
      <c r="E43" s="78">
        <f t="shared" si="2"/>
        <v>1.7444117647058825E-2</v>
      </c>
      <c r="F43" s="78">
        <f t="shared" si="2"/>
        <v>2.4514705882352945E-3</v>
      </c>
      <c r="G43" s="78">
        <f t="shared" si="2"/>
        <v>2.2161764705882353E-3</v>
      </c>
      <c r="H43" s="78">
        <f t="shared" si="2"/>
        <v>4.5735294117647061E-2</v>
      </c>
      <c r="J43" s="39" t="s">
        <v>142</v>
      </c>
      <c r="K43" s="78">
        <f t="shared" si="3"/>
        <v>5.228758169934641E-4</v>
      </c>
      <c r="L43" s="78">
        <f t="shared" si="4"/>
        <v>1.4136029411764704E-3</v>
      </c>
      <c r="M43" s="78">
        <f t="shared" si="5"/>
        <v>2.6837104072398191E-4</v>
      </c>
      <c r="N43" s="78">
        <f t="shared" si="6"/>
        <v>8.1988982884123566E-5</v>
      </c>
      <c r="O43" s="78">
        <f t="shared" si="7"/>
        <v>1.3350460666194189E-5</v>
      </c>
      <c r="P43" s="78">
        <f t="shared" si="8"/>
        <v>1.7590497737556563E-3</v>
      </c>
      <c r="R43" s="91">
        <f t="shared" si="9"/>
        <v>4.0592390161998905E-3</v>
      </c>
      <c r="T43" s="78">
        <f t="shared" si="10"/>
        <v>3.2421939115651082E-7</v>
      </c>
      <c r="U43" s="78">
        <f t="shared" si="1"/>
        <v>1.55827944874598E-5</v>
      </c>
      <c r="V43" s="78">
        <f t="shared" si="1"/>
        <v>6.0092037779664556E-5</v>
      </c>
      <c r="W43" s="78">
        <f t="shared" si="1"/>
        <v>8.4449019540297447E-6</v>
      </c>
      <c r="X43" s="78">
        <f t="shared" si="1"/>
        <v>7.6343534761384657E-6</v>
      </c>
      <c r="Y43" s="78">
        <f t="shared" si="1"/>
        <v>1.5755036039011698E-4</v>
      </c>
      <c r="Z43" s="91">
        <f t="shared" si="11"/>
        <v>2.4962866747856607E-4</v>
      </c>
    </row>
    <row r="44" spans="2:26" x14ac:dyDescent="0.3">
      <c r="B44" s="39" t="s">
        <v>141</v>
      </c>
      <c r="C44" s="78">
        <f t="shared" si="2"/>
        <v>8.2352941176470595E-5</v>
      </c>
      <c r="D44" s="78">
        <f t="shared" si="2"/>
        <v>2.8352941176470591E-3</v>
      </c>
      <c r="E44" s="78">
        <f t="shared" si="2"/>
        <v>1.4269117647058824E-2</v>
      </c>
      <c r="F44" s="78">
        <f t="shared" si="2"/>
        <v>1.711764705882353E-3</v>
      </c>
      <c r="G44" s="78">
        <f t="shared" si="2"/>
        <v>1.3441176470588235E-3</v>
      </c>
      <c r="H44" s="78">
        <f t="shared" si="2"/>
        <v>4.1323529411764703E-2</v>
      </c>
      <c r="J44" s="39" t="s">
        <v>141</v>
      </c>
      <c r="K44" s="78">
        <f t="shared" si="3"/>
        <v>4.5751633986928109E-4</v>
      </c>
      <c r="L44" s="78">
        <f t="shared" si="4"/>
        <v>8.8602941176470597E-4</v>
      </c>
      <c r="M44" s="78">
        <f t="shared" si="5"/>
        <v>2.1952488687782806E-4</v>
      </c>
      <c r="N44" s="78">
        <f t="shared" si="6"/>
        <v>5.7249655715128862E-5</v>
      </c>
      <c r="O44" s="78">
        <f t="shared" si="7"/>
        <v>8.0970942593905038E-6</v>
      </c>
      <c r="P44" s="78">
        <f t="shared" si="8"/>
        <v>1.589366515837104E-3</v>
      </c>
      <c r="R44" s="91">
        <f t="shared" si="9"/>
        <v>3.2177839043234383E-3</v>
      </c>
      <c r="T44" s="78">
        <f t="shared" si="10"/>
        <v>2.8369196726194696E-7</v>
      </c>
      <c r="U44" s="78">
        <f t="shared" si="1"/>
        <v>9.7671091585898886E-6</v>
      </c>
      <c r="V44" s="78">
        <f t="shared" si="1"/>
        <v>4.9154699256119137E-5</v>
      </c>
      <c r="W44" s="78">
        <f t="shared" si="1"/>
        <v>5.8967401766590406E-6</v>
      </c>
      <c r="X44" s="78">
        <f t="shared" si="1"/>
        <v>4.6302581799539204E-6</v>
      </c>
      <c r="Y44" s="78">
        <f t="shared" si="1"/>
        <v>1.4235257642965552E-4</v>
      </c>
      <c r="Z44" s="91">
        <f t="shared" si="11"/>
        <v>2.1208507516823946E-4</v>
      </c>
    </row>
    <row r="45" spans="2:26" x14ac:dyDescent="0.3">
      <c r="B45" s="39" t="s">
        <v>143</v>
      </c>
      <c r="C45" s="78">
        <f t="shared" si="2"/>
        <v>1.1176470588235294E-4</v>
      </c>
      <c r="D45" s="78">
        <f t="shared" si="2"/>
        <v>3.3029411764705884E-3</v>
      </c>
      <c r="E45" s="78">
        <f t="shared" si="2"/>
        <v>1.8672058823529413E-2</v>
      </c>
      <c r="F45" s="78">
        <f t="shared" si="2"/>
        <v>1.9191176470588235E-3</v>
      </c>
      <c r="G45" s="78">
        <f t="shared" si="2"/>
        <v>1.8882352941176469E-3</v>
      </c>
      <c r="H45" s="78">
        <f t="shared" si="2"/>
        <v>7.0588235294117646E-2</v>
      </c>
      <c r="J45" s="39" t="s">
        <v>143</v>
      </c>
      <c r="K45" s="78">
        <f t="shared" si="3"/>
        <v>6.2091503267973857E-4</v>
      </c>
      <c r="L45" s="78">
        <f t="shared" si="4"/>
        <v>1.0321691176470589E-3</v>
      </c>
      <c r="M45" s="78">
        <f t="shared" si="5"/>
        <v>2.8726244343891405E-4</v>
      </c>
      <c r="N45" s="78">
        <f t="shared" si="6"/>
        <v>6.4184536690930556E-5</v>
      </c>
      <c r="O45" s="78">
        <f t="shared" si="7"/>
        <v>1.1374911410347271E-5</v>
      </c>
      <c r="P45" s="78">
        <f t="shared" si="8"/>
        <v>2.7149321266968325E-3</v>
      </c>
      <c r="R45" s="91">
        <f t="shared" si="9"/>
        <v>4.730838168563822E-3</v>
      </c>
      <c r="T45" s="78">
        <f t="shared" si="10"/>
        <v>3.8501052699835658E-7</v>
      </c>
      <c r="U45" s="78">
        <f t="shared" si="1"/>
        <v>1.1378074258398801E-5</v>
      </c>
      <c r="V45" s="78">
        <f t="shared" si="1"/>
        <v>6.432208764865965E-5</v>
      </c>
      <c r="W45" s="78">
        <f t="shared" si="1"/>
        <v>6.6110360228007285E-6</v>
      </c>
      <c r="X45" s="78">
        <f t="shared" si="1"/>
        <v>6.5046515350774974E-6</v>
      </c>
      <c r="Y45" s="78">
        <f t="shared" si="1"/>
        <v>2.431645433673831E-4</v>
      </c>
      <c r="Z45" s="91">
        <f t="shared" si="11"/>
        <v>3.3236540335931811E-4</v>
      </c>
    </row>
    <row r="46" spans="2:26" x14ac:dyDescent="0.3">
      <c r="B46" s="46" t="s">
        <v>160</v>
      </c>
      <c r="C46" s="78">
        <f t="shared" si="2"/>
        <v>8.9705882352941169E-5</v>
      </c>
      <c r="D46" s="78">
        <f t="shared" si="2"/>
        <v>2.725E-3</v>
      </c>
      <c r="E46" s="78">
        <f t="shared" si="2"/>
        <v>1.6363235294117647E-2</v>
      </c>
      <c r="F46" s="78">
        <f t="shared" si="2"/>
        <v>1.5279411764705883E-3</v>
      </c>
      <c r="G46" s="78">
        <f t="shared" si="2"/>
        <v>1.6279411764705883E-3</v>
      </c>
      <c r="H46" s="78">
        <f t="shared" si="2"/>
        <v>4.6323529411764708E-2</v>
      </c>
      <c r="J46" s="46" t="s">
        <v>160</v>
      </c>
      <c r="K46" s="78">
        <f t="shared" si="3"/>
        <v>4.9836601307189543E-4</v>
      </c>
      <c r="L46" s="78">
        <f t="shared" si="4"/>
        <v>8.515625E-4</v>
      </c>
      <c r="M46" s="78">
        <f t="shared" si="5"/>
        <v>2.5174208144796383E-4</v>
      </c>
      <c r="N46" s="78">
        <f t="shared" si="6"/>
        <v>5.1101711587645095E-5</v>
      </c>
      <c r="O46" s="78">
        <f t="shared" si="7"/>
        <v>9.8068745570517359E-6</v>
      </c>
      <c r="P46" s="78">
        <f t="shared" si="8"/>
        <v>1.7816742081447966E-3</v>
      </c>
      <c r="R46" s="91">
        <f t="shared" si="9"/>
        <v>3.4442533888093532E-3</v>
      </c>
      <c r="T46" s="78">
        <f t="shared" si="10"/>
        <v>3.0902160719604933E-7</v>
      </c>
      <c r="U46" s="78">
        <f t="shared" si="1"/>
        <v>9.3871645595783528E-6</v>
      </c>
      <c r="V46" s="78">
        <f t="shared" si="1"/>
        <v>5.6368580709351495E-5</v>
      </c>
      <c r="W46" s="78">
        <f t="shared" si="1"/>
        <v>5.2634991783064801E-6</v>
      </c>
      <c r="X46" s="78">
        <f t="shared" si="1"/>
        <v>5.607982281410273E-6</v>
      </c>
      <c r="Y46" s="78">
        <f t="shared" si="1"/>
        <v>1.5957673158484517E-4</v>
      </c>
      <c r="Z46" s="91">
        <f t="shared" si="11"/>
        <v>2.3651297992068784E-4</v>
      </c>
    </row>
    <row r="47" spans="2:26" x14ac:dyDescent="0.3">
      <c r="B47" s="39"/>
      <c r="C47" s="78">
        <f t="shared" si="2"/>
        <v>0</v>
      </c>
      <c r="D47" s="78">
        <f t="shared" si="2"/>
        <v>0</v>
      </c>
      <c r="E47" s="78">
        <f t="shared" si="2"/>
        <v>0</v>
      </c>
      <c r="F47" s="78">
        <f t="shared" si="2"/>
        <v>0</v>
      </c>
      <c r="G47" s="78">
        <f t="shared" si="2"/>
        <v>0</v>
      </c>
      <c r="H47" s="78">
        <f t="shared" si="2"/>
        <v>0</v>
      </c>
      <c r="J47" s="39"/>
      <c r="K47" s="78"/>
      <c r="L47" s="78"/>
      <c r="M47" s="78"/>
      <c r="N47" s="78"/>
      <c r="O47" s="78"/>
      <c r="P47" s="78"/>
      <c r="R47" s="91"/>
      <c r="T47" s="78"/>
      <c r="U47" s="78"/>
      <c r="V47" s="78"/>
      <c r="W47" s="78"/>
      <c r="X47" s="78"/>
      <c r="Y47" s="78"/>
      <c r="Z47" s="91"/>
    </row>
    <row r="48" spans="2:26" x14ac:dyDescent="0.3">
      <c r="B48" s="39" t="s">
        <v>144</v>
      </c>
      <c r="C48" s="78">
        <f t="shared" si="2"/>
        <v>2.3382352941176473E-4</v>
      </c>
      <c r="D48" s="78">
        <f t="shared" si="2"/>
        <v>6.7529411764705883E-3</v>
      </c>
      <c r="E48" s="78">
        <f t="shared" si="2"/>
        <v>3.2922058823529415E-2</v>
      </c>
      <c r="F48" s="78">
        <f t="shared" si="2"/>
        <v>3.2426470588235294E-3</v>
      </c>
      <c r="G48" s="78">
        <f t="shared" si="2"/>
        <v>7.9279411764705873E-3</v>
      </c>
      <c r="H48" s="78">
        <f t="shared" si="2"/>
        <v>0.19308823529411764</v>
      </c>
      <c r="J48" s="39" t="s">
        <v>144</v>
      </c>
      <c r="K48" s="78">
        <f t="shared" si="3"/>
        <v>1.2990196078431374E-3</v>
      </c>
      <c r="L48" s="78">
        <f t="shared" si="4"/>
        <v>2.1102941176470587E-3</v>
      </c>
      <c r="M48" s="78">
        <f t="shared" si="5"/>
        <v>5.064932126696833E-4</v>
      </c>
      <c r="N48" s="78">
        <f t="shared" si="6"/>
        <v>1.084497344088137E-4</v>
      </c>
      <c r="O48" s="78">
        <f t="shared" si="7"/>
        <v>4.7758681785967396E-5</v>
      </c>
      <c r="P48" s="78">
        <f t="shared" si="8"/>
        <v>7.4264705882352939E-3</v>
      </c>
      <c r="R48" s="91">
        <f t="shared" si="9"/>
        <v>1.1498485942589953E-2</v>
      </c>
      <c r="T48" s="78">
        <f t="shared" si="10"/>
        <v>8.0548254990445656E-7</v>
      </c>
      <c r="U48" s="78">
        <f t="shared" si="1"/>
        <v>2.3262741315479649E-5</v>
      </c>
      <c r="V48" s="78">
        <f t="shared" si="1"/>
        <v>1.1341092984095013E-4</v>
      </c>
      <c r="W48" s="78">
        <f t="shared" si="1"/>
        <v>1.1170371210939161E-5</v>
      </c>
      <c r="X48" s="78">
        <f t="shared" si="1"/>
        <v>2.7310417776949213E-5</v>
      </c>
      <c r="Y48" s="78">
        <f t="shared" si="1"/>
        <v>6.6515634466952922E-4</v>
      </c>
      <c r="Z48" s="91">
        <f t="shared" si="11"/>
        <v>8.4111628736375176E-4</v>
      </c>
    </row>
    <row r="49" spans="2:26" x14ac:dyDescent="0.3">
      <c r="B49" s="39" t="s">
        <v>145</v>
      </c>
      <c r="C49" s="78">
        <f t="shared" si="2"/>
        <v>2.2058823529411765E-4</v>
      </c>
      <c r="D49" s="78">
        <f t="shared" si="2"/>
        <v>8.3044117647058813E-3</v>
      </c>
      <c r="E49" s="78">
        <f t="shared" si="2"/>
        <v>3.2514705882352939E-2</v>
      </c>
      <c r="F49" s="78">
        <f t="shared" si="2"/>
        <v>4.111764705882353E-3</v>
      </c>
      <c r="G49" s="78">
        <f t="shared" si="2"/>
        <v>5.9338235294117648E-3</v>
      </c>
      <c r="H49" s="78">
        <f t="shared" si="2"/>
        <v>0.16205882352941176</v>
      </c>
      <c r="J49" s="39" t="s">
        <v>145</v>
      </c>
      <c r="K49" s="78">
        <f t="shared" si="3"/>
        <v>1.2254901960784314E-3</v>
      </c>
      <c r="L49" s="78">
        <f t="shared" si="4"/>
        <v>2.5951286764705878E-3</v>
      </c>
      <c r="M49" s="78">
        <f t="shared" si="5"/>
        <v>5.0022624434389136E-4</v>
      </c>
      <c r="N49" s="78">
        <f t="shared" si="6"/>
        <v>1.3751721424355696E-4</v>
      </c>
      <c r="O49" s="78">
        <f t="shared" si="7"/>
        <v>3.5745924875974489E-5</v>
      </c>
      <c r="P49" s="78">
        <f t="shared" si="8"/>
        <v>6.2330316742081442E-3</v>
      </c>
      <c r="R49" s="91">
        <f t="shared" si="9"/>
        <v>1.0727139930220586E-2</v>
      </c>
      <c r="T49" s="78">
        <f t="shared" si="10"/>
        <v>7.5988919802307224E-7</v>
      </c>
      <c r="U49" s="78">
        <f t="shared" si="1"/>
        <v>2.8607295341575254E-5</v>
      </c>
      <c r="V49" s="78">
        <f t="shared" si="1"/>
        <v>1.1200766778860084E-4</v>
      </c>
      <c r="W49" s="78">
        <f t="shared" si="1"/>
        <v>1.4164334651150067E-5</v>
      </c>
      <c r="X49" s="78">
        <f t="shared" si="1"/>
        <v>2.0441019426820642E-5</v>
      </c>
      <c r="Y49" s="78">
        <f t="shared" si="1"/>
        <v>5.5826526414761704E-4</v>
      </c>
      <c r="Z49" s="91">
        <f t="shared" si="11"/>
        <v>7.3424547055378692E-4</v>
      </c>
    </row>
    <row r="50" spans="2:26" x14ac:dyDescent="0.3">
      <c r="B50" s="39" t="s">
        <v>146</v>
      </c>
      <c r="C50" s="78">
        <f t="shared" si="2"/>
        <v>2.5735294117647061E-4</v>
      </c>
      <c r="D50" s="78">
        <f t="shared" si="2"/>
        <v>1.1923529411764706E-2</v>
      </c>
      <c r="E50" s="78">
        <f t="shared" si="2"/>
        <v>3.7080882352941179E-2</v>
      </c>
      <c r="F50" s="78">
        <f t="shared" si="2"/>
        <v>6.7764705882352935E-3</v>
      </c>
      <c r="G50" s="78">
        <f t="shared" si="2"/>
        <v>5.5632352941176466E-3</v>
      </c>
      <c r="H50" s="78">
        <f t="shared" si="2"/>
        <v>0.1761764705882353</v>
      </c>
      <c r="J50" s="39" t="s">
        <v>146</v>
      </c>
      <c r="K50" s="94">
        <f t="shared" si="3"/>
        <v>1.4297385620915034E-3</v>
      </c>
      <c r="L50" s="78">
        <f t="shared" si="4"/>
        <v>3.7261029411764703E-3</v>
      </c>
      <c r="M50" s="78">
        <f t="shared" si="5"/>
        <v>5.7047511312217198E-4</v>
      </c>
      <c r="N50" s="78">
        <f t="shared" si="6"/>
        <v>2.2663781231556168E-4</v>
      </c>
      <c r="O50" s="78">
        <f t="shared" si="7"/>
        <v>3.3513465627214739E-5</v>
      </c>
      <c r="P50" s="78">
        <f t="shared" si="8"/>
        <v>6.7760180995475117E-3</v>
      </c>
      <c r="R50" s="91">
        <f t="shared" si="9"/>
        <v>1.2762485993880433E-2</v>
      </c>
      <c r="T50" s="78">
        <f t="shared" si="10"/>
        <v>8.8653739769358428E-7</v>
      </c>
      <c r="U50" s="78">
        <f t="shared" si="10"/>
        <v>4.1074544117140464E-5</v>
      </c>
      <c r="V50" s="78">
        <f t="shared" si="10"/>
        <v>1.2773737418767846E-4</v>
      </c>
      <c r="W50" s="78">
        <f t="shared" si="10"/>
        <v>2.3343796163268776E-5</v>
      </c>
      <c r="X50" s="78">
        <f t="shared" si="10"/>
        <v>1.9164405574141879E-5</v>
      </c>
      <c r="Y50" s="78">
        <f t="shared" si="10"/>
        <v>6.0689817282109373E-4</v>
      </c>
      <c r="Z50" s="91">
        <f t="shared" si="11"/>
        <v>8.1910483026101692E-4</v>
      </c>
    </row>
    <row r="51" spans="2:26" x14ac:dyDescent="0.3">
      <c r="B51" s="39" t="s">
        <v>147</v>
      </c>
      <c r="C51" s="78">
        <f t="shared" si="2"/>
        <v>2.4117647058823527E-4</v>
      </c>
      <c r="D51" s="78">
        <f t="shared" si="2"/>
        <v>1.3242647058823529E-2</v>
      </c>
      <c r="E51" s="78">
        <f t="shared" si="2"/>
        <v>3.5892647058823529E-2</v>
      </c>
      <c r="F51" s="78">
        <f t="shared" si="2"/>
        <v>6.5735294117647064E-3</v>
      </c>
      <c r="G51" s="78">
        <f t="shared" si="2"/>
        <v>5.691176470588236E-3</v>
      </c>
      <c r="H51" s="78">
        <f t="shared" si="2"/>
        <v>0.15485294117647058</v>
      </c>
      <c r="J51" s="39" t="s">
        <v>147</v>
      </c>
      <c r="K51" s="78">
        <f t="shared" si="3"/>
        <v>1.3398692810457516E-3</v>
      </c>
      <c r="L51" s="94">
        <f t="shared" si="4"/>
        <v>4.1383272058823526E-3</v>
      </c>
      <c r="M51" s="78">
        <f t="shared" si="5"/>
        <v>5.5219457013574655E-4</v>
      </c>
      <c r="N51" s="78">
        <f t="shared" si="6"/>
        <v>2.1985048199881963E-4</v>
      </c>
      <c r="O51" s="78">
        <f t="shared" si="7"/>
        <v>3.4284195605953228E-5</v>
      </c>
      <c r="P51" s="78">
        <f t="shared" si="8"/>
        <v>5.9558823529411763E-3</v>
      </c>
      <c r="R51" s="91">
        <f t="shared" si="9"/>
        <v>1.2240408087609799E-2</v>
      </c>
      <c r="T51" s="78">
        <f t="shared" si="10"/>
        <v>8.3081218983855892E-7</v>
      </c>
      <c r="U51" s="78">
        <f t="shared" si="10"/>
        <v>4.5618681521318434E-5</v>
      </c>
      <c r="V51" s="78">
        <f t="shared" si="10"/>
        <v>1.236441043743275E-4</v>
      </c>
      <c r="W51" s="78">
        <f t="shared" si="10"/>
        <v>2.2644698101087553E-5</v>
      </c>
      <c r="X51" s="78">
        <f t="shared" si="10"/>
        <v>1.9605141308995266E-5</v>
      </c>
      <c r="Y51" s="78">
        <f t="shared" si="10"/>
        <v>5.334422170121967E-4</v>
      </c>
      <c r="Z51" s="91">
        <f t="shared" si="11"/>
        <v>7.4578565450776407E-4</v>
      </c>
    </row>
    <row r="52" spans="2:26" x14ac:dyDescent="0.3">
      <c r="B52" s="39" t="s">
        <v>148</v>
      </c>
      <c r="C52" s="78">
        <f t="shared" si="2"/>
        <v>2.2941176470588236E-4</v>
      </c>
      <c r="D52" s="78">
        <f t="shared" si="2"/>
        <v>1.1770588235294118E-2</v>
      </c>
      <c r="E52" s="78">
        <f t="shared" si="2"/>
        <v>3.7942647058823525E-2</v>
      </c>
      <c r="F52" s="78">
        <f t="shared" si="2"/>
        <v>5.8617647058823528E-3</v>
      </c>
      <c r="G52" s="78">
        <f t="shared" si="2"/>
        <v>1.6592647058823528E-2</v>
      </c>
      <c r="H52" s="78">
        <f t="shared" si="2"/>
        <v>0.32176470588235295</v>
      </c>
      <c r="J52" s="39" t="s">
        <v>148</v>
      </c>
      <c r="K52" s="78">
        <f t="shared" si="3"/>
        <v>1.2745098039215687E-3</v>
      </c>
      <c r="L52" s="78">
        <f t="shared" si="4"/>
        <v>3.6783088235294117E-3</v>
      </c>
      <c r="M52" s="94">
        <f t="shared" si="5"/>
        <v>5.8373303167420809E-4</v>
      </c>
      <c r="N52" s="78">
        <f t="shared" si="6"/>
        <v>1.9604564233720244E-4</v>
      </c>
      <c r="O52" s="94">
        <f t="shared" si="7"/>
        <v>9.9955705173635713E-5</v>
      </c>
      <c r="P52" s="94">
        <f t="shared" si="8"/>
        <v>1.2375565610859729E-2</v>
      </c>
      <c r="R52" s="91">
        <f t="shared" si="9"/>
        <v>1.8208118617495755E-2</v>
      </c>
      <c r="T52" s="78">
        <f t="shared" si="10"/>
        <v>7.9028476594399512E-7</v>
      </c>
      <c r="U52" s="78">
        <f t="shared" si="10"/>
        <v>4.0547687606511134E-5</v>
      </c>
      <c r="V52" s="78">
        <f t="shared" si="10"/>
        <v>1.3070600798795523E-4</v>
      </c>
      <c r="W52" s="78">
        <f t="shared" si="10"/>
        <v>2.0192788955466437E-5</v>
      </c>
      <c r="X52" s="78">
        <f t="shared" si="10"/>
        <v>5.7158865475295486E-5</v>
      </c>
      <c r="Y52" s="78">
        <f t="shared" si="10"/>
        <v>1.1084250435163213E-3</v>
      </c>
      <c r="Z52" s="91">
        <f t="shared" si="11"/>
        <v>1.3578206783074935E-3</v>
      </c>
    </row>
    <row r="53" spans="2:26" x14ac:dyDescent="0.3">
      <c r="B53" s="46" t="s">
        <v>160</v>
      </c>
      <c r="C53" s="78">
        <f t="shared" si="2"/>
        <v>2.3676470588235296E-4</v>
      </c>
      <c r="D53" s="78">
        <f t="shared" si="2"/>
        <v>1.0075000000000001E-2</v>
      </c>
      <c r="E53" s="78">
        <f t="shared" si="2"/>
        <v>3.5017647058823528E-2</v>
      </c>
      <c r="F53" s="78">
        <f t="shared" si="2"/>
        <v>5.1735294117647062E-3</v>
      </c>
      <c r="G53" s="78">
        <f t="shared" si="2"/>
        <v>7.9102941176470588E-3</v>
      </c>
      <c r="H53" s="78">
        <f t="shared" si="2"/>
        <v>0.19588235294117648</v>
      </c>
      <c r="J53" s="46" t="s">
        <v>160</v>
      </c>
      <c r="K53" s="78">
        <f t="shared" si="3"/>
        <v>1.3153594771241831E-3</v>
      </c>
      <c r="L53" s="78">
        <f t="shared" si="4"/>
        <v>3.1484375000000002E-3</v>
      </c>
      <c r="M53" s="78">
        <f t="shared" si="5"/>
        <v>5.3873303167420808E-4</v>
      </c>
      <c r="N53" s="78">
        <f t="shared" si="6"/>
        <v>1.7302773952390324E-4</v>
      </c>
      <c r="O53" s="78">
        <f t="shared" si="7"/>
        <v>4.7652374202693128E-5</v>
      </c>
      <c r="P53" s="78">
        <f t="shared" si="8"/>
        <v>7.5339366515837104E-3</v>
      </c>
      <c r="R53" s="91">
        <f t="shared" si="9"/>
        <v>1.2757146774108698E-2</v>
      </c>
      <c r="T53" s="78">
        <f t="shared" si="10"/>
        <v>8.1561440587809759E-7</v>
      </c>
      <c r="U53" s="78">
        <f t="shared" si="10"/>
        <v>3.4706672637707119E-5</v>
      </c>
      <c r="V53" s="78">
        <f t="shared" si="10"/>
        <v>1.2062987722216929E-4</v>
      </c>
      <c r="W53" s="78">
        <f t="shared" si="10"/>
        <v>1.7821934657634455E-5</v>
      </c>
      <c r="X53" s="78">
        <f t="shared" si="10"/>
        <v>2.7249626641107368E-5</v>
      </c>
      <c r="Y53" s="78">
        <f t="shared" si="10"/>
        <v>6.7478160784448812E-4</v>
      </c>
      <c r="Z53" s="91">
        <f t="shared" si="11"/>
        <v>8.7600533340898446E-4</v>
      </c>
    </row>
    <row r="54" spans="2:26" x14ac:dyDescent="0.3">
      <c r="B54" s="39"/>
      <c r="C54" s="78">
        <f t="shared" si="2"/>
        <v>0</v>
      </c>
      <c r="D54" s="78">
        <f t="shared" si="2"/>
        <v>0</v>
      </c>
      <c r="E54" s="78">
        <f t="shared" si="2"/>
        <v>0</v>
      </c>
      <c r="F54" s="78">
        <f t="shared" si="2"/>
        <v>0</v>
      </c>
      <c r="G54" s="78">
        <f t="shared" si="2"/>
        <v>0</v>
      </c>
      <c r="H54" s="78">
        <f t="shared" si="2"/>
        <v>0</v>
      </c>
      <c r="J54" s="39"/>
      <c r="K54" s="78"/>
      <c r="L54" s="78"/>
      <c r="M54" s="78"/>
      <c r="N54" s="78"/>
      <c r="O54" s="78"/>
      <c r="P54" s="78"/>
      <c r="R54" s="91"/>
      <c r="T54" s="78"/>
      <c r="U54" s="78"/>
      <c r="V54" s="78"/>
      <c r="W54" s="78"/>
      <c r="X54" s="78"/>
      <c r="Y54" s="78"/>
      <c r="Z54" s="91"/>
    </row>
    <row r="55" spans="2:26" x14ac:dyDescent="0.3">
      <c r="B55" s="39" t="s">
        <v>149</v>
      </c>
      <c r="C55" s="78">
        <f t="shared" si="2"/>
        <v>1.1323529411764706E-4</v>
      </c>
      <c r="D55" s="78">
        <f t="shared" si="2"/>
        <v>7.908823529411765E-3</v>
      </c>
      <c r="E55" s="78">
        <f t="shared" si="2"/>
        <v>2.6664705882352941E-2</v>
      </c>
      <c r="F55" s="78">
        <f t="shared" si="2"/>
        <v>7.3749999999999996E-3</v>
      </c>
      <c r="G55" s="78">
        <f t="shared" si="2"/>
        <v>3.3058823529411767E-3</v>
      </c>
      <c r="H55" s="78">
        <f t="shared" si="2"/>
        <v>0.13500000000000001</v>
      </c>
      <c r="J55" s="39" t="s">
        <v>149</v>
      </c>
      <c r="K55" s="78">
        <f t="shared" si="3"/>
        <v>6.2908496732026146E-4</v>
      </c>
      <c r="L55" s="78">
        <f t="shared" si="4"/>
        <v>2.4715073529411762E-3</v>
      </c>
      <c r="M55" s="78">
        <f t="shared" si="5"/>
        <v>4.1022624434389139E-4</v>
      </c>
      <c r="N55" s="94">
        <f t="shared" si="6"/>
        <v>2.4665551839464885E-4</v>
      </c>
      <c r="O55" s="78">
        <f t="shared" si="7"/>
        <v>1.9914953933380583E-5</v>
      </c>
      <c r="P55" s="78">
        <f t="shared" si="8"/>
        <v>5.1923076923076922E-3</v>
      </c>
      <c r="R55" s="91">
        <f t="shared" si="9"/>
        <v>8.9696967292410505E-3</v>
      </c>
      <c r="T55" s="78">
        <f t="shared" si="10"/>
        <v>3.900764549851771E-7</v>
      </c>
      <c r="U55" s="78">
        <f t="shared" si="10"/>
        <v>2.7244560713120549E-5</v>
      </c>
      <c r="V55" s="78">
        <f t="shared" si="10"/>
        <v>9.1855406257028974E-5</v>
      </c>
      <c r="W55" s="78">
        <f t="shared" si="10"/>
        <v>2.5405628853904712E-5</v>
      </c>
      <c r="X55" s="78">
        <f t="shared" si="10"/>
        <v>1.1388206114372443E-5</v>
      </c>
      <c r="Y55" s="78">
        <f t="shared" si="10"/>
        <v>4.650521891901202E-4</v>
      </c>
      <c r="Z55" s="91">
        <f t="shared" si="11"/>
        <v>6.2133606758353198E-4</v>
      </c>
    </row>
    <row r="56" spans="2:26" x14ac:dyDescent="0.3">
      <c r="B56" s="39" t="s">
        <v>150</v>
      </c>
      <c r="C56" s="78">
        <f t="shared" si="2"/>
        <v>9.705882352941177E-5</v>
      </c>
      <c r="D56" s="78">
        <f t="shared" si="2"/>
        <v>5.0132352941176473E-3</v>
      </c>
      <c r="E56" s="78">
        <f t="shared" si="2"/>
        <v>2.5842647058823529E-2</v>
      </c>
      <c r="F56" s="78">
        <f t="shared" si="2"/>
        <v>4.754411764705882E-3</v>
      </c>
      <c r="G56" s="78">
        <f t="shared" si="2"/>
        <v>2.075E-3</v>
      </c>
      <c r="H56" s="78">
        <f t="shared" si="2"/>
        <v>0.10911764705882353</v>
      </c>
      <c r="J56" s="39" t="s">
        <v>150</v>
      </c>
      <c r="K56" s="78">
        <f t="shared" si="3"/>
        <v>5.3921568627450988E-4</v>
      </c>
      <c r="L56" s="78">
        <f t="shared" si="4"/>
        <v>1.5666360294117646E-3</v>
      </c>
      <c r="M56" s="78">
        <f t="shared" si="5"/>
        <v>3.9757918552036199E-4</v>
      </c>
      <c r="N56" s="78">
        <f t="shared" si="6"/>
        <v>1.590104269132402E-4</v>
      </c>
      <c r="O56" s="78">
        <f t="shared" si="7"/>
        <v>1.2500000000000001E-5</v>
      </c>
      <c r="P56" s="78">
        <f t="shared" si="8"/>
        <v>4.19683257918552E-3</v>
      </c>
      <c r="R56" s="91">
        <f t="shared" si="9"/>
        <v>6.8717739073053969E-3</v>
      </c>
      <c r="T56" s="78">
        <f t="shared" si="10"/>
        <v>3.343512471301518E-7</v>
      </c>
      <c r="U56" s="78">
        <f t="shared" si="10"/>
        <v>1.7269748507071022E-5</v>
      </c>
      <c r="V56" s="78">
        <f t="shared" si="10"/>
        <v>8.9023552512396313E-5</v>
      </c>
      <c r="W56" s="78">
        <f t="shared" si="10"/>
        <v>1.6378145181390616E-5</v>
      </c>
      <c r="X56" s="78">
        <f t="shared" si="10"/>
        <v>7.1480243894036996E-6</v>
      </c>
      <c r="Y56" s="78">
        <f t="shared" si="10"/>
        <v>3.7589185662207969E-4</v>
      </c>
      <c r="Z56" s="91">
        <f t="shared" si="11"/>
        <v>5.0604567845947144E-4</v>
      </c>
    </row>
    <row r="57" spans="2:26" x14ac:dyDescent="0.3">
      <c r="B57" s="39" t="s">
        <v>151</v>
      </c>
      <c r="C57" s="78">
        <f t="shared" si="2"/>
        <v>1.1470588235294118E-4</v>
      </c>
      <c r="D57" s="78">
        <f t="shared" si="2"/>
        <v>8.9735294117647066E-3</v>
      </c>
      <c r="E57" s="78">
        <f t="shared" si="2"/>
        <v>2.7342647058823531E-2</v>
      </c>
      <c r="F57" s="78">
        <f t="shared" si="2"/>
        <v>6.3823529411764701E-3</v>
      </c>
      <c r="G57" s="78">
        <f t="shared" si="2"/>
        <v>2.0955882352941177E-3</v>
      </c>
      <c r="H57" s="78">
        <f t="shared" si="2"/>
        <v>0.1313235294117647</v>
      </c>
      <c r="J57" s="39" t="s">
        <v>151</v>
      </c>
      <c r="K57" s="78">
        <f t="shared" si="3"/>
        <v>6.3725490196078435E-4</v>
      </c>
      <c r="L57" s="78">
        <f t="shared" si="4"/>
        <v>2.8042279411764708E-3</v>
      </c>
      <c r="M57" s="78">
        <f t="shared" si="5"/>
        <v>4.2065610859728507E-4</v>
      </c>
      <c r="N57" s="78">
        <f t="shared" si="6"/>
        <v>2.1345662010623646E-4</v>
      </c>
      <c r="O57" s="78">
        <f t="shared" si="7"/>
        <v>1.2624025513819986E-5</v>
      </c>
      <c r="P57" s="78">
        <f t="shared" si="8"/>
        <v>5.0509049773755652E-3</v>
      </c>
      <c r="R57" s="91">
        <f t="shared" si="9"/>
        <v>9.1391245747301612E-3</v>
      </c>
      <c r="T57" s="78">
        <f t="shared" si="10"/>
        <v>3.9514238297199756E-7</v>
      </c>
      <c r="U57" s="78">
        <f t="shared" si="10"/>
        <v>3.0912292575578583E-5</v>
      </c>
      <c r="V57" s="78">
        <f t="shared" si="10"/>
        <v>9.4190799058953219E-5</v>
      </c>
      <c r="W57" s="78">
        <f t="shared" si="10"/>
        <v>2.1986127462800886E-5</v>
      </c>
      <c r="X57" s="78">
        <f t="shared" si="10"/>
        <v>7.2189473812191861E-6</v>
      </c>
      <c r="Y57" s="78">
        <f t="shared" si="10"/>
        <v>4.5238736922306895E-4</v>
      </c>
      <c r="Z57" s="91">
        <f t="shared" si="11"/>
        <v>6.0709067808459283E-4</v>
      </c>
    </row>
    <row r="58" spans="2:26" x14ac:dyDescent="0.3">
      <c r="B58" s="39" t="s">
        <v>152</v>
      </c>
      <c r="C58" s="78">
        <f t="shared" si="2"/>
        <v>1.2794117647058824E-4</v>
      </c>
      <c r="D58" s="78">
        <f t="shared" si="2"/>
        <v>7.5661764705882359E-3</v>
      </c>
      <c r="E58" s="78">
        <f t="shared" si="2"/>
        <v>3.1888235294117648E-2</v>
      </c>
      <c r="F58" s="78">
        <f t="shared" si="2"/>
        <v>5.7499999999999999E-3</v>
      </c>
      <c r="G58" s="78">
        <f t="shared" si="2"/>
        <v>2.3E-3</v>
      </c>
      <c r="H58" s="78">
        <f t="shared" si="2"/>
        <v>0.14735294117647058</v>
      </c>
      <c r="J58" s="39" t="s">
        <v>152</v>
      </c>
      <c r="K58" s="78">
        <f t="shared" si="3"/>
        <v>7.1078431372549025E-4</v>
      </c>
      <c r="L58" s="78">
        <f t="shared" si="4"/>
        <v>2.3644301470588237E-3</v>
      </c>
      <c r="M58" s="78">
        <f t="shared" si="5"/>
        <v>4.9058823529411766E-4</v>
      </c>
      <c r="N58" s="78">
        <f t="shared" si="6"/>
        <v>1.9230769230769231E-4</v>
      </c>
      <c r="O58" s="78">
        <f t="shared" si="7"/>
        <v>1.3855421686746987E-5</v>
      </c>
      <c r="P58" s="78">
        <f t="shared" si="8"/>
        <v>5.6674208144796377E-3</v>
      </c>
      <c r="R58" s="91">
        <f t="shared" si="9"/>
        <v>9.4393866245525079E-3</v>
      </c>
      <c r="T58" s="78">
        <f t="shared" si="10"/>
        <v>4.4073573485338188E-7</v>
      </c>
      <c r="U58" s="78">
        <f t="shared" si="10"/>
        <v>2.6064199492191378E-5</v>
      </c>
      <c r="V58" s="78">
        <f t="shared" si="10"/>
        <v>1.0984958246621533E-4</v>
      </c>
      <c r="W58" s="78">
        <f t="shared" si="10"/>
        <v>1.9807778428468083E-5</v>
      </c>
      <c r="X58" s="78">
        <f t="shared" si="10"/>
        <v>7.9231113713872324E-6</v>
      </c>
      <c r="Y58" s="78">
        <f t="shared" si="10"/>
        <v>5.0760598427941216E-4</v>
      </c>
      <c r="Z58" s="91">
        <f t="shared" si="11"/>
        <v>6.7169139177252748E-4</v>
      </c>
    </row>
    <row r="59" spans="2:26" x14ac:dyDescent="0.3">
      <c r="B59" s="39" t="s">
        <v>153</v>
      </c>
      <c r="C59" s="78">
        <f t="shared" si="2"/>
        <v>1.2941176470588234E-4</v>
      </c>
      <c r="D59" s="78">
        <f t="shared" si="2"/>
        <v>9.4544117647058831E-3</v>
      </c>
      <c r="E59" s="78">
        <f t="shared" si="2"/>
        <v>3.0429411764705882E-2</v>
      </c>
      <c r="F59" s="78">
        <f t="shared" si="2"/>
        <v>6.3882352941176468E-3</v>
      </c>
      <c r="G59" s="78">
        <f t="shared" si="2"/>
        <v>2.1308823529411765E-3</v>
      </c>
      <c r="H59" s="78">
        <f t="shared" si="2"/>
        <v>0.15838235294117647</v>
      </c>
      <c r="J59" s="39" t="s">
        <v>153</v>
      </c>
      <c r="K59" s="78">
        <f t="shared" si="3"/>
        <v>7.1895424836601303E-4</v>
      </c>
      <c r="L59" s="78">
        <f t="shared" si="4"/>
        <v>2.9545036764705881E-3</v>
      </c>
      <c r="M59" s="78">
        <f t="shared" si="5"/>
        <v>4.6814479638009049E-4</v>
      </c>
      <c r="N59" s="78">
        <f t="shared" si="6"/>
        <v>2.1365335431831596E-4</v>
      </c>
      <c r="O59" s="78">
        <f t="shared" si="7"/>
        <v>1.2836640680368533E-5</v>
      </c>
      <c r="P59" s="78">
        <f t="shared" si="8"/>
        <v>6.091628959276018E-3</v>
      </c>
      <c r="R59" s="91">
        <f t="shared" si="9"/>
        <v>1.0459721675491394E-2</v>
      </c>
      <c r="T59" s="78">
        <f t="shared" si="10"/>
        <v>4.4580166284020234E-7</v>
      </c>
      <c r="U59" s="78">
        <f t="shared" si="10"/>
        <v>3.2568851027268876E-5</v>
      </c>
      <c r="V59" s="78">
        <f t="shared" si="10"/>
        <v>1.048241819032894E-4</v>
      </c>
      <c r="W59" s="78">
        <f t="shared" si="10"/>
        <v>2.2006391174748171E-5</v>
      </c>
      <c r="X59" s="78">
        <f t="shared" si="10"/>
        <v>7.3405296529028777E-6</v>
      </c>
      <c r="Y59" s="78">
        <f t="shared" si="10"/>
        <v>5.4560044418056584E-4</v>
      </c>
      <c r="Z59" s="91">
        <f t="shared" si="11"/>
        <v>7.1278619960161538E-4</v>
      </c>
    </row>
    <row r="60" spans="2:26" x14ac:dyDescent="0.3">
      <c r="B60" s="46" t="s">
        <v>160</v>
      </c>
      <c r="C60" s="78">
        <f t="shared" si="2"/>
        <v>1.1470588235294118E-4</v>
      </c>
      <c r="D60" s="78">
        <f t="shared" si="2"/>
        <v>7.672058823529412E-3</v>
      </c>
      <c r="E60" s="78">
        <f t="shared" si="2"/>
        <v>2.8014705882352942E-2</v>
      </c>
      <c r="F60" s="78">
        <f t="shared" si="2"/>
        <v>6.1397058823529412E-3</v>
      </c>
      <c r="G60" s="78">
        <f t="shared" si="2"/>
        <v>2.4073529411764707E-3</v>
      </c>
      <c r="H60" s="78">
        <f t="shared" si="2"/>
        <v>0.13367647058823529</v>
      </c>
      <c r="J60" s="46" t="s">
        <v>160</v>
      </c>
      <c r="K60" s="78">
        <f t="shared" si="3"/>
        <v>6.3725490196078435E-4</v>
      </c>
      <c r="L60" s="78">
        <f t="shared" si="4"/>
        <v>2.3975183823529409E-3</v>
      </c>
      <c r="M60" s="78">
        <f t="shared" si="5"/>
        <v>4.3099547511312217E-4</v>
      </c>
      <c r="N60" s="78">
        <f t="shared" si="6"/>
        <v>2.0534133385795791E-4</v>
      </c>
      <c r="O60" s="78">
        <f t="shared" si="7"/>
        <v>1.4502126151665487E-5</v>
      </c>
      <c r="P60" s="78">
        <f t="shared" si="8"/>
        <v>5.1414027149321263E-3</v>
      </c>
      <c r="R60" s="91">
        <f t="shared" si="9"/>
        <v>8.8270149343685975E-3</v>
      </c>
      <c r="T60" s="78">
        <f t="shared" si="10"/>
        <v>3.9514238297199756E-7</v>
      </c>
      <c r="U60" s="78">
        <f t="shared" si="10"/>
        <v>2.6428946307242451E-5</v>
      </c>
      <c r="V60" s="78">
        <f t="shared" si="10"/>
        <v>9.6505928148930175E-5</v>
      </c>
      <c r="W60" s="78">
        <f t="shared" si="10"/>
        <v>2.115024934497551E-5</v>
      </c>
      <c r="X60" s="78">
        <f t="shared" si="10"/>
        <v>8.2929241144251291E-6</v>
      </c>
      <c r="Y60" s="78">
        <f t="shared" si="10"/>
        <v>4.6049285400198172E-4</v>
      </c>
      <c r="Z60" s="91">
        <f t="shared" si="11"/>
        <v>6.1326604430052701E-4</v>
      </c>
    </row>
    <row r="62" spans="2:26" x14ac:dyDescent="0.3">
      <c r="J62" t="s">
        <v>76</v>
      </c>
      <c r="K62" s="78">
        <f>MIN(K34:K60)</f>
        <v>4.0849673202614375E-4</v>
      </c>
      <c r="L62" s="78">
        <f t="shared" ref="L62:P62" si="12">MIN(L34:L60)</f>
        <v>4.9678308823529406E-4</v>
      </c>
      <c r="M62" s="78">
        <f t="shared" si="12"/>
        <v>2.1364253393665159E-4</v>
      </c>
      <c r="N62" s="78">
        <f t="shared" si="12"/>
        <v>2.6018099547511314E-5</v>
      </c>
      <c r="O62" s="78">
        <f t="shared" si="12"/>
        <v>7.3352232459248753E-6</v>
      </c>
      <c r="P62" s="78">
        <f t="shared" si="12"/>
        <v>1.3009049773755655E-3</v>
      </c>
    </row>
    <row r="63" spans="2:26" x14ac:dyDescent="0.3">
      <c r="J63" t="s">
        <v>77</v>
      </c>
      <c r="K63" s="78">
        <f>MAX(K34:K60)</f>
        <v>1.4297385620915034E-3</v>
      </c>
      <c r="L63" s="78">
        <f t="shared" ref="L63:P63" si="13">MAX(L34:L60)</f>
        <v>4.1383272058823526E-3</v>
      </c>
      <c r="M63" s="78">
        <f t="shared" si="13"/>
        <v>5.8373303167420809E-4</v>
      </c>
      <c r="N63" s="78">
        <f t="shared" si="13"/>
        <v>2.4665551839464885E-4</v>
      </c>
      <c r="O63" s="78">
        <f t="shared" si="13"/>
        <v>9.9955705173635713E-5</v>
      </c>
      <c r="P63" s="78">
        <f t="shared" si="13"/>
        <v>1.2375565610859729E-2</v>
      </c>
    </row>
    <row r="66" spans="11:11" x14ac:dyDescent="0.3">
      <c r="K66" s="78">
        <f>MIN(K34:P60)</f>
        <v>7.3352232459248753E-6</v>
      </c>
    </row>
    <row r="67" spans="11:11" x14ac:dyDescent="0.3">
      <c r="K67" s="78">
        <f>MAX(K34:P60)</f>
        <v>1.2375565610859729E-2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67AE5-921A-4A17-9193-F8CD2EBF0B1C}">
  <dimension ref="A1:S34"/>
  <sheetViews>
    <sheetView tabSelected="1" workbookViewId="0">
      <selection activeCell="N23" sqref="N23"/>
    </sheetView>
  </sheetViews>
  <sheetFormatPr defaultRowHeight="14.4" x14ac:dyDescent="0.3"/>
  <cols>
    <col min="2" max="2" width="26.21875" customWidth="1"/>
    <col min="3" max="3" width="9.5546875" bestFit="1" customWidth="1"/>
  </cols>
  <sheetData>
    <row r="1" spans="1:19" x14ac:dyDescent="0.3">
      <c r="A1" s="64" t="s">
        <v>97</v>
      </c>
    </row>
    <row r="2" spans="1:19" x14ac:dyDescent="0.3">
      <c r="B2" t="s">
        <v>101</v>
      </c>
      <c r="C2" s="1" t="s">
        <v>72</v>
      </c>
      <c r="D2" s="1" t="s">
        <v>73</v>
      </c>
      <c r="E2" s="1" t="s">
        <v>84</v>
      </c>
      <c r="F2" s="1" t="s">
        <v>75</v>
      </c>
      <c r="H2" t="s">
        <v>72</v>
      </c>
      <c r="I2" t="s">
        <v>73</v>
      </c>
      <c r="J2" t="s">
        <v>84</v>
      </c>
      <c r="K2" t="s">
        <v>75</v>
      </c>
    </row>
    <row r="3" spans="1:19" x14ac:dyDescent="0.3">
      <c r="C3" s="1"/>
      <c r="D3" s="1" t="s">
        <v>98</v>
      </c>
      <c r="E3" s="1"/>
      <c r="F3" s="1"/>
    </row>
    <row r="4" spans="1:19" x14ac:dyDescent="0.3">
      <c r="B4" s="46" t="s">
        <v>102</v>
      </c>
      <c r="C4">
        <v>1.0727752394714442E-3</v>
      </c>
      <c r="D4">
        <v>7.7555630120655519E-4</v>
      </c>
      <c r="E4">
        <v>5.909790319985825E-3</v>
      </c>
      <c r="F4">
        <v>1.2033720570191692E-3</v>
      </c>
      <c r="H4" s="50">
        <v>3.8313401409694435E-4</v>
      </c>
      <c r="I4" s="50">
        <v>2.7698439328805542E-4</v>
      </c>
      <c r="J4" s="50">
        <v>2.1106393999949374E-3</v>
      </c>
      <c r="K4" s="50">
        <v>4.2977573464970329E-4</v>
      </c>
    </row>
    <row r="5" spans="1:19" x14ac:dyDescent="0.3">
      <c r="B5" s="46" t="s">
        <v>103</v>
      </c>
      <c r="C5">
        <v>6.526055647709918E-3</v>
      </c>
      <c r="D5">
        <v>4.5241089362336572E-3</v>
      </c>
      <c r="E5">
        <v>1.1923249544194717E-2</v>
      </c>
      <c r="F5">
        <v>8.9737376915461943E-3</v>
      </c>
      <c r="H5" s="50">
        <v>2.0393923899093493E-3</v>
      </c>
      <c r="I5" s="50">
        <v>1.4137840425730178E-3</v>
      </c>
      <c r="J5" s="50">
        <v>3.726015482560849E-3</v>
      </c>
      <c r="K5" s="50">
        <v>2.8042930286081855E-3</v>
      </c>
    </row>
    <row r="6" spans="1:19" x14ac:dyDescent="0.3">
      <c r="B6" s="46" t="s">
        <v>104</v>
      </c>
      <c r="C6">
        <v>2.0956926321081506E-2</v>
      </c>
      <c r="D6">
        <v>1.7612735525558129E-2</v>
      </c>
      <c r="E6">
        <v>3.7081478241880725E-2</v>
      </c>
      <c r="F6">
        <v>2.7342000806426837E-2</v>
      </c>
      <c r="H6" s="50">
        <v>2.9938466172973582E-4</v>
      </c>
      <c r="I6" s="50">
        <v>2.5161050750797329E-4</v>
      </c>
      <c r="J6" s="50">
        <v>5.2973540345543891E-4</v>
      </c>
      <c r="K6" s="50">
        <v>3.906000115203834E-4</v>
      </c>
    </row>
    <row r="7" spans="1:19" x14ac:dyDescent="0.3">
      <c r="B7" s="46" t="s">
        <v>105</v>
      </c>
      <c r="C7">
        <v>0.12383312516012326</v>
      </c>
      <c r="D7">
        <v>7.0574577096675875E-2</v>
      </c>
      <c r="E7">
        <v>0.3217250770103145</v>
      </c>
      <c r="F7">
        <v>0.15841125820685253</v>
      </c>
      <c r="H7" s="50">
        <v>5.384048920005359E-3</v>
      </c>
      <c r="I7" s="50">
        <v>3.0684598737685163E-3</v>
      </c>
      <c r="J7" s="50">
        <v>1.3988046826535414E-2</v>
      </c>
      <c r="K7" s="50">
        <v>6.8874460089935882E-3</v>
      </c>
    </row>
    <row r="8" spans="1:19" x14ac:dyDescent="0.3">
      <c r="B8" s="46" t="s">
        <v>106</v>
      </c>
      <c r="C8">
        <v>4.2932037809273729E-3</v>
      </c>
      <c r="D8">
        <v>2.2155144063618392E-3</v>
      </c>
      <c r="E8">
        <v>7.9276617671844365E-3</v>
      </c>
      <c r="F8">
        <v>3.3058215735033065E-3</v>
      </c>
      <c r="H8" s="70">
        <v>2.5862673379080561E-5</v>
      </c>
      <c r="I8" s="70">
        <v>1.3346472327480959E-5</v>
      </c>
      <c r="J8" s="70">
        <v>4.7756998597496605E-5</v>
      </c>
      <c r="K8" s="70">
        <v>1.9914587792188592E-5</v>
      </c>
    </row>
    <row r="9" spans="1:19" x14ac:dyDescent="0.3">
      <c r="B9" s="46" t="s">
        <v>107</v>
      </c>
      <c r="C9">
        <v>0.12200209748523722</v>
      </c>
      <c r="D9">
        <v>4.6392428820416484E-2</v>
      </c>
      <c r="E9">
        <v>0.19301864371756081</v>
      </c>
      <c r="F9">
        <v>0.13493961358207118</v>
      </c>
      <c r="H9" s="50">
        <v>1.0517422197003209E-3</v>
      </c>
      <c r="I9" s="50">
        <v>3.9993473121048692E-4</v>
      </c>
      <c r="J9" s="50">
        <v>1.6639538251513862E-3</v>
      </c>
      <c r="K9" s="50">
        <v>1.1632725308799239E-3</v>
      </c>
    </row>
    <row r="10" spans="1:19" x14ac:dyDescent="0.3">
      <c r="B10" s="69"/>
    </row>
    <row r="11" spans="1:19" x14ac:dyDescent="0.3">
      <c r="B11" s="60" t="s">
        <v>108</v>
      </c>
      <c r="C11">
        <v>7.247058823529412E-3</v>
      </c>
      <c r="D11">
        <v>3.9676470588235297E-3</v>
      </c>
      <c r="E11">
        <v>6.4014705882352936E-4</v>
      </c>
      <c r="F11">
        <v>1.4970588235294117E-3</v>
      </c>
      <c r="H11" s="71">
        <v>1.1688804554079697</v>
      </c>
      <c r="I11" s="71">
        <v>0.63994307400379513</v>
      </c>
      <c r="J11" s="71">
        <v>0.10324952561669828</v>
      </c>
      <c r="K11" s="71">
        <v>0.24146110056925996</v>
      </c>
    </row>
    <row r="12" spans="1:19" x14ac:dyDescent="0.3">
      <c r="B12" s="40" t="s">
        <v>109</v>
      </c>
      <c r="C12">
        <v>1.0367647058823529E-4</v>
      </c>
      <c r="D12">
        <v>1.0448529411764707E-4</v>
      </c>
      <c r="E12">
        <v>1.8764705882352942E-4</v>
      </c>
      <c r="F12">
        <v>1.1277941176470588E-4</v>
      </c>
      <c r="H12" s="71">
        <v>1.0264997087944089E-2</v>
      </c>
      <c r="I12" s="71">
        <v>1.0345078625509612E-2</v>
      </c>
      <c r="J12" s="71">
        <v>1.8578916715200934E-2</v>
      </c>
      <c r="K12" s="71">
        <v>1.1166278392545137E-2</v>
      </c>
    </row>
    <row r="13" spans="1:19" x14ac:dyDescent="0.3">
      <c r="B13" s="40" t="s">
        <v>110</v>
      </c>
      <c r="C13">
        <v>3.139705882352941E-2</v>
      </c>
      <c r="D13">
        <v>3.1205882352941174E-2</v>
      </c>
      <c r="E13">
        <v>2.9955882352941179E-3</v>
      </c>
      <c r="F13">
        <v>1.1986764705882353E-2</v>
      </c>
      <c r="H13" s="71">
        <v>1.7346441338966523</v>
      </c>
      <c r="I13" s="71">
        <v>1.724081897952551</v>
      </c>
      <c r="J13" s="71">
        <v>0.16550211244718882</v>
      </c>
      <c r="K13" s="71">
        <v>0.66225219369515753</v>
      </c>
    </row>
    <row r="14" spans="1:19" x14ac:dyDescent="0.3">
      <c r="B14" s="40" t="s">
        <v>111</v>
      </c>
      <c r="C14">
        <v>1.498529411764706E-2</v>
      </c>
      <c r="D14">
        <v>3.164705882352941E-2</v>
      </c>
      <c r="E14">
        <v>6.0750000000000005E-3</v>
      </c>
      <c r="F14">
        <v>2.6632352941176468E-2</v>
      </c>
      <c r="H14" s="71">
        <v>1.1988235294117648</v>
      </c>
      <c r="I14" s="71">
        <v>2.5317647058823525</v>
      </c>
      <c r="J14" s="71">
        <v>0.48600000000000004</v>
      </c>
      <c r="K14" s="71">
        <v>2.1305882352941174</v>
      </c>
    </row>
    <row r="15" spans="1:19" x14ac:dyDescent="0.3">
      <c r="B15" s="40" t="s">
        <v>112</v>
      </c>
      <c r="C15">
        <v>0.29176470588235293</v>
      </c>
      <c r="D15">
        <v>3.4602941176470593E-2</v>
      </c>
      <c r="E15">
        <v>5.8220588235294119E-3</v>
      </c>
      <c r="F15">
        <v>5.4661764705882354E-2</v>
      </c>
      <c r="H15" s="71">
        <v>729.41176470588232</v>
      </c>
      <c r="I15" s="71">
        <v>86.507352941176478</v>
      </c>
      <c r="J15" s="71">
        <v>14.555147058823529</v>
      </c>
      <c r="K15" s="71">
        <v>136.65441176470588</v>
      </c>
      <c r="S15" t="s">
        <v>46</v>
      </c>
    </row>
    <row r="16" spans="1:19" x14ac:dyDescent="0.3">
      <c r="B16" s="40" t="s">
        <v>113</v>
      </c>
      <c r="C16">
        <v>1.2566176470588234E-3</v>
      </c>
      <c r="D16">
        <v>5.2735294117647056E-4</v>
      </c>
      <c r="E16">
        <v>1.3654411764705881E-4</v>
      </c>
      <c r="F16">
        <v>6.2750000000000002E-4</v>
      </c>
      <c r="H16" s="71">
        <v>0.14959733893557423</v>
      </c>
      <c r="I16" s="71">
        <v>6.2780112044817926E-2</v>
      </c>
      <c r="J16" s="71">
        <v>1.6255252100840337E-2</v>
      </c>
      <c r="K16" s="71">
        <v>7.4702380952380965E-2</v>
      </c>
    </row>
    <row r="17" spans="1:14" x14ac:dyDescent="0.3">
      <c r="B17" s="40" t="s">
        <v>114</v>
      </c>
      <c r="C17">
        <v>7.6661764705882346E-2</v>
      </c>
      <c r="D17">
        <v>5.514705882352941E-2</v>
      </c>
      <c r="E17">
        <v>2.4147058823529416E-3</v>
      </c>
      <c r="F17">
        <v>1.6029411764705882E-2</v>
      </c>
      <c r="H17" s="71">
        <v>1.2713393815237537</v>
      </c>
      <c r="I17" s="71">
        <v>0.91454492244659058</v>
      </c>
      <c r="J17" s="71">
        <v>4.0044873670861389E-2</v>
      </c>
      <c r="K17" s="71">
        <v>0.26582772412447564</v>
      </c>
    </row>
    <row r="19" spans="1:14" x14ac:dyDescent="0.3">
      <c r="A19" s="64" t="s">
        <v>100</v>
      </c>
      <c r="B19" s="1"/>
      <c r="C19" t="s">
        <v>72</v>
      </c>
      <c r="D19" t="s">
        <v>73</v>
      </c>
      <c r="E19" t="s">
        <v>84</v>
      </c>
      <c r="F19" t="s">
        <v>75</v>
      </c>
      <c r="G19" t="s">
        <v>115</v>
      </c>
    </row>
    <row r="20" spans="1:14" x14ac:dyDescent="0.3">
      <c r="B20" s="46" t="s">
        <v>5</v>
      </c>
      <c r="C20" s="50">
        <v>3.8313401409694435E-4</v>
      </c>
      <c r="D20" s="50">
        <v>2.7698439328805542E-4</v>
      </c>
      <c r="E20" s="50">
        <v>2.1106393999949374E-3</v>
      </c>
      <c r="F20" s="50">
        <v>4.2977573464970329E-4</v>
      </c>
    </row>
    <row r="21" spans="1:14" x14ac:dyDescent="0.3">
      <c r="B21" s="46" t="s">
        <v>6</v>
      </c>
      <c r="C21" s="50">
        <v>2.0393923899093493E-3</v>
      </c>
      <c r="D21" s="50">
        <v>1.4137840425730178E-3</v>
      </c>
      <c r="E21" s="50">
        <v>3.726015482560849E-3</v>
      </c>
      <c r="F21" s="50">
        <v>2.8042930286081855E-3</v>
      </c>
    </row>
    <row r="22" spans="1:14" x14ac:dyDescent="0.3">
      <c r="B22" s="46" t="s">
        <v>7</v>
      </c>
      <c r="C22" s="50">
        <v>2.9938466172973582E-4</v>
      </c>
      <c r="D22" s="50">
        <v>2.5161050750797329E-4</v>
      </c>
      <c r="E22" s="50">
        <v>5.2973540345543891E-4</v>
      </c>
      <c r="F22" s="50">
        <v>3.906000115203834E-4</v>
      </c>
    </row>
    <row r="23" spans="1:14" x14ac:dyDescent="0.3">
      <c r="B23" s="46" t="s">
        <v>13</v>
      </c>
      <c r="C23" s="50">
        <v>5.384048920005359E-3</v>
      </c>
      <c r="D23" s="50">
        <v>3.0684598737685163E-3</v>
      </c>
      <c r="E23" s="50">
        <v>1.3988046826535414E-2</v>
      </c>
      <c r="F23" s="50">
        <v>6.8874460089935882E-3</v>
      </c>
    </row>
    <row r="24" spans="1:14" x14ac:dyDescent="0.3">
      <c r="B24" s="46" t="s">
        <v>15</v>
      </c>
      <c r="C24" s="70">
        <v>2.5862673379080561E-5</v>
      </c>
      <c r="D24" s="70">
        <v>1.3346472327480959E-5</v>
      </c>
      <c r="E24" s="70">
        <v>4.7756998597496605E-5</v>
      </c>
      <c r="F24" s="70">
        <v>1.9914587792188592E-5</v>
      </c>
      <c r="I24" t="s">
        <v>46</v>
      </c>
      <c r="N24" t="s">
        <v>46</v>
      </c>
    </row>
    <row r="25" spans="1:14" x14ac:dyDescent="0.3">
      <c r="B25" s="46" t="s">
        <v>16</v>
      </c>
      <c r="C25" s="50">
        <v>1.0517422197003209E-3</v>
      </c>
      <c r="D25" s="50">
        <v>3.9993473121048692E-4</v>
      </c>
      <c r="E25" s="50">
        <v>1.6639538251513862E-3</v>
      </c>
      <c r="F25" s="50">
        <v>1.1632725308799239E-3</v>
      </c>
    </row>
    <row r="26" spans="1:14" x14ac:dyDescent="0.3">
      <c r="B26" s="46"/>
    </row>
    <row r="27" spans="1:14" x14ac:dyDescent="0.3">
      <c r="B27" s="40" t="s">
        <v>86</v>
      </c>
      <c r="C27" s="71">
        <v>1.1688804554079697</v>
      </c>
      <c r="D27" s="71">
        <v>0.63994307400379513</v>
      </c>
      <c r="E27" s="71">
        <v>0.10324952561669828</v>
      </c>
      <c r="F27" s="71">
        <v>0.24146110056925996</v>
      </c>
    </row>
    <row r="28" spans="1:14" x14ac:dyDescent="0.3">
      <c r="B28" s="40" t="s">
        <v>87</v>
      </c>
      <c r="C28" s="71">
        <v>1.0264997087944089E-2</v>
      </c>
      <c r="D28" s="71">
        <v>1.0345078625509612E-2</v>
      </c>
      <c r="E28" s="71">
        <v>1.8578916715200934E-2</v>
      </c>
      <c r="F28" s="71">
        <v>1.1166278392545137E-2</v>
      </c>
    </row>
    <row r="29" spans="1:14" x14ac:dyDescent="0.3">
      <c r="B29" s="40" t="s">
        <v>88</v>
      </c>
      <c r="C29" s="71">
        <v>1.7346441338966523</v>
      </c>
      <c r="D29" s="71">
        <v>1.724081897952551</v>
      </c>
      <c r="E29" s="71">
        <v>0.16550211244718882</v>
      </c>
      <c r="F29" s="71">
        <v>0.66225219369515753</v>
      </c>
    </row>
    <row r="30" spans="1:14" x14ac:dyDescent="0.3">
      <c r="B30" s="40" t="s">
        <v>89</v>
      </c>
      <c r="C30" s="71">
        <v>1.1988235294117648</v>
      </c>
      <c r="D30" s="71">
        <v>2.5317647058823525</v>
      </c>
      <c r="E30" s="71">
        <v>0.48600000000000004</v>
      </c>
      <c r="F30" s="71">
        <v>2.1305882352941174</v>
      </c>
    </row>
    <row r="31" spans="1:14" x14ac:dyDescent="0.3">
      <c r="B31" s="40" t="s">
        <v>90</v>
      </c>
      <c r="C31" s="71">
        <v>729.41176470588232</v>
      </c>
      <c r="D31" s="71">
        <v>86.507352941176478</v>
      </c>
      <c r="E31" s="71">
        <v>14.555147058823529</v>
      </c>
      <c r="F31" s="71">
        <v>136.65441176470588</v>
      </c>
    </row>
    <row r="32" spans="1:14" x14ac:dyDescent="0.3">
      <c r="B32" s="40" t="s">
        <v>91</v>
      </c>
      <c r="C32" s="71">
        <v>0.14959733893557423</v>
      </c>
      <c r="D32" s="71">
        <v>6.2780112044817926E-2</v>
      </c>
      <c r="E32" s="71">
        <v>1.6255252100840337E-2</v>
      </c>
      <c r="F32" s="71">
        <v>7.4702380952380965E-2</v>
      </c>
    </row>
    <row r="33" spans="2:6" x14ac:dyDescent="0.3">
      <c r="B33" s="40" t="s">
        <v>92</v>
      </c>
      <c r="C33" s="71">
        <v>1.2713393815237537</v>
      </c>
      <c r="D33" s="71">
        <v>0.91454492244659058</v>
      </c>
      <c r="E33" s="71">
        <v>4.0044873670861389E-2</v>
      </c>
      <c r="F33" s="71">
        <v>0.26582772412447564</v>
      </c>
    </row>
    <row r="34" spans="2:6" x14ac:dyDescent="0.3">
      <c r="B34" s="32"/>
      <c r="E34" s="50"/>
    </row>
  </sheetData>
  <conditionalFormatting sqref="B11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:B15">
    <cfRule type="cellIs" dxfId="1" priority="10" operator="lessThan">
      <formula>0.06</formula>
    </cfRule>
  </conditionalFormatting>
  <conditionalFormatting sqref="B27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8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9:B31">
    <cfRule type="cellIs" dxfId="0" priority="4" operator="lessThan">
      <formula>0.06</formula>
    </cfRule>
  </conditionalFormatting>
  <conditionalFormatting sqref="H4:K17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zbiorcze wszytskie</vt:lpstr>
      <vt:lpstr>dataset-metals</vt:lpstr>
      <vt:lpstr>MEC i PEC</vt:lpstr>
      <vt:lpstr>RQ antibiotics</vt:lpstr>
      <vt:lpstr>RQ mix</vt:lpstr>
      <vt:lpstr>RQ metals</vt:lpstr>
      <vt:lpstr>PEC i RQenv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</dc:creator>
  <cp:lastModifiedBy>Magdalena Urbaniak</cp:lastModifiedBy>
  <dcterms:created xsi:type="dcterms:W3CDTF">2023-03-15T15:13:35Z</dcterms:created>
  <dcterms:modified xsi:type="dcterms:W3CDTF">2024-09-17T09:18:51Z</dcterms:modified>
</cp:coreProperties>
</file>